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rvmextweb.stone.ne.gov\inetpub\UPJointPlanning\media\INSIGHT\"/>
    </mc:Choice>
  </mc:AlternateContent>
  <bookViews>
    <workbookView xWindow="120" yWindow="240" windowWidth="20040" windowHeight="5535" tabRatio="803" firstSheet="9" activeTab="3"/>
  </bookViews>
  <sheets>
    <sheet name="Lewellen_NonIrrigation Season" sheetId="23" r:id="rId1"/>
    <sheet name="Lewellen_Irrigation Season" sheetId="24" r:id="rId2"/>
    <sheet name="NorthPlatte_NonIRR Season" sheetId="2" r:id="rId3"/>
    <sheet name="NorthPlatte_IRR Season" sheetId="3" r:id="rId4"/>
    <sheet name="Odessa_NonIrrigation Season" sheetId="62" r:id="rId5"/>
    <sheet name="Odessa_Irrigation Season" sheetId="63" r:id="rId6"/>
    <sheet name="GIsland_NonIrrigation Season" sheetId="72" r:id="rId7"/>
    <sheet name="GIsland_Irrigation Season" sheetId="73" r:id="rId8"/>
    <sheet name="Duncan_NonIrrigation Season" sheetId="82" r:id="rId9"/>
    <sheet name="Duncan_Irrigation Season" sheetId="83" r:id="rId10"/>
    <sheet name="SPlatte_NonIrrigation Season" sheetId="91" r:id="rId11"/>
    <sheet name="SPlatte_Irrigation Season" sheetId="92" r:id="rId12"/>
    <sheet name="Full Upper Platte NonIRR" sheetId="112" r:id="rId13"/>
    <sheet name="Full Upper Platte IRR " sheetId="113" r:id="rId14"/>
  </sheets>
  <externalReferences>
    <externalReference r:id="rId15"/>
    <externalReference r:id="rId16"/>
    <externalReference r:id="rId17"/>
    <externalReference r:id="rId18"/>
    <externalReference r:id="rId19"/>
  </externalReferences>
  <calcPr calcId="162913"/>
</workbook>
</file>

<file path=xl/calcChain.xml><?xml version="1.0" encoding="utf-8"?>
<calcChain xmlns="http://schemas.openxmlformats.org/spreadsheetml/2006/main">
  <c r="P32" i="92" l="1"/>
  <c r="P31" i="92"/>
  <c r="P30" i="92"/>
  <c r="P29" i="92"/>
  <c r="P28" i="92"/>
  <c r="P27" i="92"/>
  <c r="P26" i="92"/>
  <c r="P25" i="92"/>
  <c r="P24" i="92"/>
  <c r="P23" i="92"/>
  <c r="P22" i="92"/>
  <c r="P21" i="92"/>
  <c r="P20" i="92"/>
  <c r="P19" i="92"/>
  <c r="P18" i="92"/>
  <c r="P17" i="92"/>
  <c r="P16" i="92"/>
  <c r="P15" i="92"/>
  <c r="P14" i="92"/>
  <c r="P13" i="92"/>
  <c r="P12" i="92"/>
  <c r="P11" i="92"/>
  <c r="P10" i="92"/>
  <c r="P9" i="92"/>
  <c r="P8" i="92"/>
  <c r="P32" i="91"/>
  <c r="P31" i="91"/>
  <c r="P30" i="91"/>
  <c r="P29" i="91"/>
  <c r="P28" i="91"/>
  <c r="P27" i="91"/>
  <c r="P26" i="91"/>
  <c r="P25" i="91"/>
  <c r="P24" i="91"/>
  <c r="P23" i="91"/>
  <c r="P22" i="91"/>
  <c r="P21" i="91"/>
  <c r="P20" i="91"/>
  <c r="P19" i="91"/>
  <c r="P18" i="91"/>
  <c r="P17" i="91"/>
  <c r="P16" i="91"/>
  <c r="P15" i="91"/>
  <c r="P14" i="91"/>
  <c r="P13" i="91"/>
  <c r="P12" i="91"/>
  <c r="P11" i="91"/>
  <c r="P10" i="91"/>
  <c r="P9" i="91"/>
  <c r="P8" i="91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U32" i="63"/>
  <c r="U31" i="63"/>
  <c r="U30" i="63"/>
  <c r="U29" i="63"/>
  <c r="U28" i="63"/>
  <c r="U27" i="63"/>
  <c r="U26" i="63"/>
  <c r="U25" i="63"/>
  <c r="U24" i="63"/>
  <c r="U23" i="63"/>
  <c r="U22" i="63"/>
  <c r="U21" i="63"/>
  <c r="U20" i="63"/>
  <c r="U19" i="63"/>
  <c r="U18" i="63"/>
  <c r="U17" i="63"/>
  <c r="U16" i="63"/>
  <c r="U15" i="63"/>
  <c r="U14" i="63"/>
  <c r="U13" i="63"/>
  <c r="U12" i="63"/>
  <c r="U11" i="63"/>
  <c r="U10" i="63"/>
  <c r="U9" i="63"/>
  <c r="U8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U32" i="62"/>
  <c r="U31" i="62"/>
  <c r="U30" i="62"/>
  <c r="U29" i="62"/>
  <c r="U28" i="62"/>
  <c r="U27" i="62"/>
  <c r="U26" i="62"/>
  <c r="U25" i="62"/>
  <c r="U24" i="62"/>
  <c r="U23" i="62"/>
  <c r="U22" i="62"/>
  <c r="U21" i="62"/>
  <c r="U20" i="62"/>
  <c r="U19" i="62"/>
  <c r="U18" i="62"/>
  <c r="U17" i="62"/>
  <c r="U16" i="62"/>
  <c r="U15" i="62"/>
  <c r="U14" i="62"/>
  <c r="U13" i="62"/>
  <c r="U12" i="62"/>
  <c r="U11" i="62"/>
  <c r="U10" i="62"/>
  <c r="U9" i="62"/>
  <c r="U8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B32" i="113"/>
  <c r="B31" i="113"/>
  <c r="B30" i="113"/>
  <c r="B29" i="113"/>
  <c r="B28" i="113"/>
  <c r="B27" i="113"/>
  <c r="B26" i="113"/>
  <c r="B25" i="113"/>
  <c r="B24" i="113"/>
  <c r="B23" i="113"/>
  <c r="B22" i="113"/>
  <c r="B21" i="113"/>
  <c r="B20" i="113"/>
  <c r="B19" i="113"/>
  <c r="B18" i="113"/>
  <c r="B17" i="113"/>
  <c r="B16" i="113"/>
  <c r="B15" i="113"/>
  <c r="B14" i="113"/>
  <c r="B13" i="113"/>
  <c r="B12" i="113"/>
  <c r="B11" i="113"/>
  <c r="B10" i="113"/>
  <c r="B9" i="113"/>
  <c r="B8" i="113"/>
  <c r="B32" i="112"/>
  <c r="B31" i="112"/>
  <c r="B30" i="112"/>
  <c r="B29" i="112"/>
  <c r="B28" i="112"/>
  <c r="B27" i="112"/>
  <c r="B26" i="112"/>
  <c r="B25" i="112"/>
  <c r="B24" i="112"/>
  <c r="B23" i="112"/>
  <c r="B22" i="112"/>
  <c r="B21" i="112"/>
  <c r="B20" i="112"/>
  <c r="B19" i="112"/>
  <c r="B18" i="112"/>
  <c r="B17" i="112"/>
  <c r="B16" i="112"/>
  <c r="B15" i="112"/>
  <c r="B14" i="112"/>
  <c r="B13" i="112"/>
  <c r="B12" i="112"/>
  <c r="B11" i="112"/>
  <c r="B10" i="112"/>
  <c r="B9" i="112"/>
  <c r="B8" i="112"/>
  <c r="B32" i="92"/>
  <c r="B31" i="92"/>
  <c r="B30" i="92"/>
  <c r="B29" i="92"/>
  <c r="B28" i="92"/>
  <c r="B27" i="92"/>
  <c r="B26" i="92"/>
  <c r="B25" i="92"/>
  <c r="B24" i="92"/>
  <c r="B23" i="92"/>
  <c r="B22" i="92"/>
  <c r="B21" i="92"/>
  <c r="B20" i="92"/>
  <c r="B19" i="92"/>
  <c r="B18" i="92"/>
  <c r="B17" i="92"/>
  <c r="B16" i="92"/>
  <c r="B15" i="92"/>
  <c r="B14" i="92"/>
  <c r="B13" i="92"/>
  <c r="B12" i="92"/>
  <c r="B11" i="92"/>
  <c r="B10" i="92"/>
  <c r="B9" i="92"/>
  <c r="B8" i="92"/>
  <c r="B32" i="91"/>
  <c r="B31" i="91"/>
  <c r="B30" i="91"/>
  <c r="B29" i="91"/>
  <c r="B28" i="91"/>
  <c r="B27" i="91"/>
  <c r="B26" i="91"/>
  <c r="B25" i="91"/>
  <c r="B24" i="91"/>
  <c r="B23" i="91"/>
  <c r="B22" i="91"/>
  <c r="B21" i="91"/>
  <c r="B20" i="91"/>
  <c r="B19" i="91"/>
  <c r="B18" i="91"/>
  <c r="B17" i="91"/>
  <c r="B16" i="91"/>
  <c r="B15" i="91"/>
  <c r="B14" i="91"/>
  <c r="B13" i="91"/>
  <c r="B12" i="91"/>
  <c r="B11" i="91"/>
  <c r="B10" i="91"/>
  <c r="B9" i="91"/>
  <c r="B8" i="91"/>
  <c r="C32" i="83"/>
  <c r="B32" i="83"/>
  <c r="C31" i="83"/>
  <c r="B31" i="83"/>
  <c r="C30" i="83"/>
  <c r="B30" i="83"/>
  <c r="C29" i="83"/>
  <c r="B29" i="83"/>
  <c r="C28" i="83"/>
  <c r="B28" i="83"/>
  <c r="C27" i="83"/>
  <c r="B27" i="83"/>
  <c r="C26" i="83"/>
  <c r="B26" i="83"/>
  <c r="C25" i="83"/>
  <c r="B25" i="83"/>
  <c r="C24" i="83"/>
  <c r="B24" i="83"/>
  <c r="C23" i="83"/>
  <c r="B23" i="83"/>
  <c r="C22" i="83"/>
  <c r="B22" i="83"/>
  <c r="C21" i="83"/>
  <c r="B21" i="83"/>
  <c r="C20" i="83"/>
  <c r="B20" i="83"/>
  <c r="C19" i="83"/>
  <c r="B19" i="83"/>
  <c r="C18" i="83"/>
  <c r="B18" i="83"/>
  <c r="C17" i="83"/>
  <c r="B17" i="83"/>
  <c r="C16" i="83"/>
  <c r="B16" i="83"/>
  <c r="C15" i="83"/>
  <c r="B15" i="83"/>
  <c r="C14" i="83"/>
  <c r="B14" i="83"/>
  <c r="C13" i="83"/>
  <c r="B13" i="83"/>
  <c r="C12" i="83"/>
  <c r="B12" i="83"/>
  <c r="C11" i="83"/>
  <c r="B11" i="83"/>
  <c r="C10" i="83"/>
  <c r="B10" i="83"/>
  <c r="C9" i="83"/>
  <c r="B9" i="83"/>
  <c r="C8" i="83"/>
  <c r="B8" i="83"/>
  <c r="C32" i="82"/>
  <c r="B32" i="82"/>
  <c r="C31" i="82"/>
  <c r="B31" i="82"/>
  <c r="C30" i="82"/>
  <c r="B30" i="82"/>
  <c r="C29" i="82"/>
  <c r="B29" i="82"/>
  <c r="C28" i="82"/>
  <c r="B28" i="82"/>
  <c r="C27" i="82"/>
  <c r="B27" i="82"/>
  <c r="C26" i="82"/>
  <c r="B26" i="82"/>
  <c r="C25" i="82"/>
  <c r="B25" i="82"/>
  <c r="C24" i="82"/>
  <c r="B24" i="82"/>
  <c r="C23" i="82"/>
  <c r="B23" i="82"/>
  <c r="C22" i="82"/>
  <c r="B22" i="82"/>
  <c r="C21" i="82"/>
  <c r="B21" i="82"/>
  <c r="C20" i="82"/>
  <c r="B20" i="82"/>
  <c r="C19" i="82"/>
  <c r="B19" i="82"/>
  <c r="C18" i="82"/>
  <c r="B18" i="82"/>
  <c r="C17" i="82"/>
  <c r="B17" i="82"/>
  <c r="C16" i="82"/>
  <c r="B16" i="82"/>
  <c r="C15" i="82"/>
  <c r="B15" i="82"/>
  <c r="C14" i="82"/>
  <c r="B14" i="82"/>
  <c r="C13" i="82"/>
  <c r="B13" i="82"/>
  <c r="C12" i="82"/>
  <c r="B12" i="82"/>
  <c r="C11" i="82"/>
  <c r="B11" i="82"/>
  <c r="C10" i="82"/>
  <c r="B10" i="82"/>
  <c r="C9" i="82"/>
  <c r="B9" i="82"/>
  <c r="C8" i="82"/>
  <c r="B8" i="82"/>
  <c r="C32" i="73"/>
  <c r="B32" i="73"/>
  <c r="C31" i="73"/>
  <c r="B31" i="73"/>
  <c r="C30" i="73"/>
  <c r="B30" i="73"/>
  <c r="C29" i="73"/>
  <c r="B29" i="73"/>
  <c r="C28" i="73"/>
  <c r="B28" i="73"/>
  <c r="C27" i="73"/>
  <c r="B27" i="73"/>
  <c r="C26" i="73"/>
  <c r="B26" i="73"/>
  <c r="C25" i="73"/>
  <c r="B25" i="73"/>
  <c r="C24" i="73"/>
  <c r="B24" i="73"/>
  <c r="C23" i="73"/>
  <c r="B23" i="73"/>
  <c r="C22" i="73"/>
  <c r="B22" i="73"/>
  <c r="C21" i="73"/>
  <c r="B21" i="73"/>
  <c r="C20" i="73"/>
  <c r="B20" i="73"/>
  <c r="C19" i="73"/>
  <c r="B19" i="73"/>
  <c r="C18" i="73"/>
  <c r="B18" i="73"/>
  <c r="C17" i="73"/>
  <c r="B17" i="73"/>
  <c r="C16" i="73"/>
  <c r="B16" i="73"/>
  <c r="C15" i="73"/>
  <c r="B15" i="73"/>
  <c r="C14" i="73"/>
  <c r="B14" i="73"/>
  <c r="C13" i="73"/>
  <c r="B13" i="73"/>
  <c r="C12" i="73"/>
  <c r="B12" i="73"/>
  <c r="C11" i="73"/>
  <c r="B11" i="73"/>
  <c r="C10" i="73"/>
  <c r="B10" i="73"/>
  <c r="C9" i="73"/>
  <c r="B9" i="73"/>
  <c r="C8" i="73"/>
  <c r="B8" i="73"/>
  <c r="C32" i="72"/>
  <c r="B32" i="72"/>
  <c r="C31" i="72"/>
  <c r="B31" i="72"/>
  <c r="C30" i="72"/>
  <c r="B30" i="72"/>
  <c r="C29" i="72"/>
  <c r="B29" i="72"/>
  <c r="C28" i="72"/>
  <c r="B28" i="72"/>
  <c r="C27" i="72"/>
  <c r="B27" i="72"/>
  <c r="C26" i="72"/>
  <c r="B26" i="72"/>
  <c r="C25" i="72"/>
  <c r="B25" i="72"/>
  <c r="C24" i="72"/>
  <c r="B24" i="72"/>
  <c r="C23" i="72"/>
  <c r="B23" i="72"/>
  <c r="C22" i="72"/>
  <c r="B22" i="72"/>
  <c r="C21" i="72"/>
  <c r="B21" i="72"/>
  <c r="C20" i="72"/>
  <c r="B20" i="72"/>
  <c r="C19" i="72"/>
  <c r="B19" i="72"/>
  <c r="C18" i="72"/>
  <c r="B18" i="72"/>
  <c r="C17" i="72"/>
  <c r="B17" i="72"/>
  <c r="C16" i="72"/>
  <c r="B16" i="72"/>
  <c r="C15" i="72"/>
  <c r="B15" i="72"/>
  <c r="C14" i="72"/>
  <c r="B14" i="72"/>
  <c r="C13" i="72"/>
  <c r="B13" i="72"/>
  <c r="C12" i="72"/>
  <c r="B12" i="72"/>
  <c r="C11" i="72"/>
  <c r="B11" i="72"/>
  <c r="C10" i="72"/>
  <c r="B10" i="72"/>
  <c r="C9" i="72"/>
  <c r="B9" i="72"/>
  <c r="C8" i="72"/>
  <c r="B8" i="72"/>
  <c r="H32" i="3"/>
  <c r="E32" i="24"/>
  <c r="G32" i="92"/>
  <c r="H31" i="3"/>
  <c r="E31" i="24"/>
  <c r="G31" i="92"/>
  <c r="X31" i="63" s="1"/>
  <c r="H30" i="3"/>
  <c r="X30" i="63" s="1"/>
  <c r="E30" i="24"/>
  <c r="U30" i="3" s="1"/>
  <c r="G30" i="92"/>
  <c r="H29" i="3"/>
  <c r="E29" i="24"/>
  <c r="G29" i="92"/>
  <c r="W29" i="92" s="1"/>
  <c r="H28" i="3"/>
  <c r="E28" i="24"/>
  <c r="G28" i="92"/>
  <c r="H27" i="3"/>
  <c r="E27" i="24"/>
  <c r="G27" i="92"/>
  <c r="H26" i="3"/>
  <c r="E26" i="24"/>
  <c r="G26" i="92"/>
  <c r="H25" i="3"/>
  <c r="E25" i="24"/>
  <c r="G25" i="92"/>
  <c r="H24" i="3"/>
  <c r="E24" i="24"/>
  <c r="G24" i="92"/>
  <c r="H23" i="3"/>
  <c r="E23" i="24"/>
  <c r="G23" i="92"/>
  <c r="X23" i="63" s="1"/>
  <c r="H22" i="3"/>
  <c r="X22" i="63" s="1"/>
  <c r="E22" i="24"/>
  <c r="U22" i="3" s="1"/>
  <c r="G22" i="92"/>
  <c r="H21" i="3"/>
  <c r="E21" i="24"/>
  <c r="G21" i="92"/>
  <c r="H20" i="3"/>
  <c r="E20" i="24"/>
  <c r="G20" i="92"/>
  <c r="H19" i="3"/>
  <c r="E19" i="24"/>
  <c r="G19" i="92"/>
  <c r="H18" i="3"/>
  <c r="E18" i="24"/>
  <c r="G18" i="92"/>
  <c r="H17" i="3"/>
  <c r="E17" i="24"/>
  <c r="G17" i="92"/>
  <c r="H16" i="3"/>
  <c r="E16" i="24"/>
  <c r="G16" i="92"/>
  <c r="H15" i="3"/>
  <c r="E15" i="24"/>
  <c r="G15" i="92"/>
  <c r="X15" i="63" s="1"/>
  <c r="H14" i="3"/>
  <c r="X14" i="63" s="1"/>
  <c r="E14" i="24"/>
  <c r="U14" i="3" s="1"/>
  <c r="G14" i="92"/>
  <c r="H13" i="3"/>
  <c r="E13" i="24"/>
  <c r="G13" i="92"/>
  <c r="W13" i="92" s="1"/>
  <c r="H12" i="3"/>
  <c r="E12" i="24"/>
  <c r="G12" i="92"/>
  <c r="H11" i="3"/>
  <c r="E11" i="24"/>
  <c r="G11" i="92"/>
  <c r="H10" i="3"/>
  <c r="E10" i="24"/>
  <c r="G10" i="92"/>
  <c r="H9" i="3"/>
  <c r="E9" i="24"/>
  <c r="G9" i="92"/>
  <c r="H8" i="3"/>
  <c r="E8" i="24"/>
  <c r="G8" i="92"/>
  <c r="C32" i="63"/>
  <c r="B32" i="63"/>
  <c r="C31" i="63"/>
  <c r="B31" i="63"/>
  <c r="C30" i="63"/>
  <c r="B30" i="63"/>
  <c r="Q30" i="63" s="1"/>
  <c r="C29" i="63"/>
  <c r="B29" i="63"/>
  <c r="C28" i="63"/>
  <c r="B28" i="63"/>
  <c r="C27" i="63"/>
  <c r="B27" i="63"/>
  <c r="Q27" i="63" s="1"/>
  <c r="C26" i="63"/>
  <c r="B26" i="63"/>
  <c r="C25" i="63"/>
  <c r="B25" i="63"/>
  <c r="C24" i="63"/>
  <c r="B24" i="63"/>
  <c r="C23" i="63"/>
  <c r="B23" i="63"/>
  <c r="C22" i="63"/>
  <c r="B22" i="63"/>
  <c r="C21" i="63"/>
  <c r="B21" i="63"/>
  <c r="C20" i="63"/>
  <c r="B20" i="63"/>
  <c r="C19" i="63"/>
  <c r="B19" i="63"/>
  <c r="Q19" i="63" s="1"/>
  <c r="C18" i="63"/>
  <c r="B18" i="63"/>
  <c r="C17" i="63"/>
  <c r="B17" i="63"/>
  <c r="C16" i="63"/>
  <c r="B16" i="63"/>
  <c r="C15" i="63"/>
  <c r="B15" i="63"/>
  <c r="C14" i="63"/>
  <c r="B14" i="63"/>
  <c r="C13" i="63"/>
  <c r="B13" i="63"/>
  <c r="C12" i="63"/>
  <c r="B12" i="63"/>
  <c r="C11" i="63"/>
  <c r="B11" i="63"/>
  <c r="Q11" i="63" s="1"/>
  <c r="C10" i="63"/>
  <c r="B10" i="63"/>
  <c r="C9" i="63"/>
  <c r="B9" i="63"/>
  <c r="C8" i="63"/>
  <c r="B8" i="63"/>
  <c r="E32" i="2"/>
  <c r="S32" i="2" s="1"/>
  <c r="C32" i="23"/>
  <c r="F32" i="91"/>
  <c r="E31" i="2"/>
  <c r="C31" i="23"/>
  <c r="X31" i="62" s="1"/>
  <c r="F31" i="91"/>
  <c r="E30" i="2"/>
  <c r="S30" i="2" s="1"/>
  <c r="C30" i="23"/>
  <c r="F30" i="91"/>
  <c r="X30" i="62"/>
  <c r="E29" i="2"/>
  <c r="C29" i="23"/>
  <c r="X29" i="62" s="1"/>
  <c r="F29" i="91"/>
  <c r="E28" i="2"/>
  <c r="C28" i="23"/>
  <c r="F28" i="91"/>
  <c r="E27" i="2"/>
  <c r="C27" i="23"/>
  <c r="X27" i="62" s="1"/>
  <c r="F27" i="91"/>
  <c r="E26" i="2"/>
  <c r="Q26" i="62" s="1"/>
  <c r="C26" i="23"/>
  <c r="F26" i="91"/>
  <c r="X26" i="62"/>
  <c r="E25" i="2"/>
  <c r="C25" i="23"/>
  <c r="X25" i="62" s="1"/>
  <c r="F25" i="91"/>
  <c r="E24" i="2"/>
  <c r="S24" i="2" s="1"/>
  <c r="C24" i="23"/>
  <c r="F24" i="91"/>
  <c r="E23" i="2"/>
  <c r="C23" i="23"/>
  <c r="X23" i="62" s="1"/>
  <c r="F23" i="91"/>
  <c r="E22" i="2"/>
  <c r="S22" i="2" s="1"/>
  <c r="C22" i="23"/>
  <c r="F22" i="91"/>
  <c r="X22" i="62"/>
  <c r="E21" i="2"/>
  <c r="C21" i="23"/>
  <c r="X21" i="62" s="1"/>
  <c r="F21" i="91"/>
  <c r="E20" i="2"/>
  <c r="Q20" i="62" s="1"/>
  <c r="C20" i="23"/>
  <c r="F20" i="91"/>
  <c r="E19" i="2"/>
  <c r="X19" i="62" s="1"/>
  <c r="C19" i="23"/>
  <c r="F19" i="91"/>
  <c r="E18" i="2"/>
  <c r="Q18" i="62" s="1"/>
  <c r="C18" i="23"/>
  <c r="F18" i="91"/>
  <c r="E17" i="2"/>
  <c r="C17" i="23"/>
  <c r="X17" i="62" s="1"/>
  <c r="F17" i="91"/>
  <c r="E16" i="2"/>
  <c r="S16" i="2" s="1"/>
  <c r="C16" i="23"/>
  <c r="F16" i="91"/>
  <c r="E15" i="2"/>
  <c r="C15" i="23"/>
  <c r="X15" i="62" s="1"/>
  <c r="F15" i="91"/>
  <c r="E14" i="2"/>
  <c r="S14" i="2" s="1"/>
  <c r="C14" i="23"/>
  <c r="F14" i="91"/>
  <c r="X14" i="62"/>
  <c r="E13" i="2"/>
  <c r="X13" i="62" s="1"/>
  <c r="C13" i="23"/>
  <c r="F13" i="91"/>
  <c r="E12" i="2"/>
  <c r="C12" i="23"/>
  <c r="F12" i="91"/>
  <c r="E11" i="2"/>
  <c r="C11" i="23"/>
  <c r="X11" i="62" s="1"/>
  <c r="F11" i="91"/>
  <c r="E10" i="2"/>
  <c r="Q10" i="62" s="1"/>
  <c r="C10" i="23"/>
  <c r="F10" i="91"/>
  <c r="X10" i="62"/>
  <c r="E9" i="2"/>
  <c r="C9" i="23"/>
  <c r="X9" i="62" s="1"/>
  <c r="F9" i="91"/>
  <c r="E8" i="2"/>
  <c r="S8" i="2" s="1"/>
  <c r="C8" i="23"/>
  <c r="F8" i="91"/>
  <c r="C32" i="62"/>
  <c r="B32" i="62"/>
  <c r="C31" i="62"/>
  <c r="B31" i="62"/>
  <c r="C30" i="62"/>
  <c r="B30" i="62"/>
  <c r="Q30" i="62" s="1"/>
  <c r="C29" i="62"/>
  <c r="B29" i="62"/>
  <c r="Q29" i="62" s="1"/>
  <c r="C28" i="62"/>
  <c r="B28" i="62"/>
  <c r="C27" i="62"/>
  <c r="B27" i="62"/>
  <c r="C26" i="62"/>
  <c r="B26" i="62"/>
  <c r="C25" i="62"/>
  <c r="B25" i="62"/>
  <c r="Q25" i="62" s="1"/>
  <c r="C24" i="62"/>
  <c r="B24" i="62"/>
  <c r="C23" i="62"/>
  <c r="B23" i="62"/>
  <c r="C22" i="62"/>
  <c r="B22" i="62"/>
  <c r="Q22" i="62" s="1"/>
  <c r="C21" i="62"/>
  <c r="B21" i="62"/>
  <c r="Q21" i="62" s="1"/>
  <c r="C20" i="62"/>
  <c r="B20" i="62"/>
  <c r="C19" i="62"/>
  <c r="B19" i="62"/>
  <c r="C18" i="62"/>
  <c r="B18" i="62"/>
  <c r="C17" i="62"/>
  <c r="B17" i="62"/>
  <c r="Q17" i="62" s="1"/>
  <c r="C16" i="62"/>
  <c r="B16" i="62"/>
  <c r="C15" i="62"/>
  <c r="B15" i="62"/>
  <c r="C14" i="62"/>
  <c r="B14" i="62"/>
  <c r="Q14" i="62" s="1"/>
  <c r="C13" i="62"/>
  <c r="B13" i="62"/>
  <c r="Q13" i="62" s="1"/>
  <c r="C12" i="62"/>
  <c r="B12" i="62"/>
  <c r="C11" i="62"/>
  <c r="B11" i="62"/>
  <c r="C10" i="62"/>
  <c r="B10" i="62"/>
  <c r="C9" i="62"/>
  <c r="B9" i="62"/>
  <c r="Q9" i="62" s="1"/>
  <c r="C8" i="62"/>
  <c r="B8" i="62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B32" i="24"/>
  <c r="B31" i="24"/>
  <c r="U31" i="3" s="1"/>
  <c r="Z31" i="3" s="1"/>
  <c r="B30" i="24"/>
  <c r="B29" i="24"/>
  <c r="B28" i="24"/>
  <c r="B27" i="24"/>
  <c r="B26" i="24"/>
  <c r="B25" i="24"/>
  <c r="B24" i="24"/>
  <c r="B23" i="24"/>
  <c r="U23" i="3" s="1"/>
  <c r="Z23" i="3" s="1"/>
  <c r="B22" i="24"/>
  <c r="B21" i="24"/>
  <c r="B20" i="24"/>
  <c r="B19" i="24"/>
  <c r="B18" i="24"/>
  <c r="B17" i="24"/>
  <c r="B16" i="24"/>
  <c r="B15" i="24"/>
  <c r="U15" i="3" s="1"/>
  <c r="Z15" i="3" s="1"/>
  <c r="B14" i="24"/>
  <c r="B13" i="24"/>
  <c r="B12" i="24"/>
  <c r="B11" i="24"/>
  <c r="B10" i="24"/>
  <c r="B9" i="24"/>
  <c r="B8" i="24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H32" i="83"/>
  <c r="H31" i="83"/>
  <c r="H30" i="83"/>
  <c r="H29" i="83"/>
  <c r="H28" i="83"/>
  <c r="H27" i="83"/>
  <c r="H26" i="83"/>
  <c r="H25" i="83"/>
  <c r="H24" i="83"/>
  <c r="H23" i="83"/>
  <c r="H22" i="83"/>
  <c r="H21" i="83"/>
  <c r="H20" i="83"/>
  <c r="H19" i="83"/>
  <c r="H18" i="83"/>
  <c r="H17" i="83"/>
  <c r="H16" i="83"/>
  <c r="H15" i="83"/>
  <c r="H14" i="83"/>
  <c r="H13" i="83"/>
  <c r="H12" i="83"/>
  <c r="H11" i="83"/>
  <c r="H10" i="83"/>
  <c r="H9" i="83"/>
  <c r="H8" i="83"/>
  <c r="H32" i="82"/>
  <c r="H31" i="82"/>
  <c r="H30" i="82"/>
  <c r="H29" i="82"/>
  <c r="H28" i="82"/>
  <c r="H27" i="82"/>
  <c r="H26" i="82"/>
  <c r="H25" i="82"/>
  <c r="H24" i="82"/>
  <c r="H23" i="82"/>
  <c r="H22" i="82"/>
  <c r="H21" i="82"/>
  <c r="H20" i="82"/>
  <c r="H19" i="82"/>
  <c r="H18" i="82"/>
  <c r="H17" i="82"/>
  <c r="H16" i="82"/>
  <c r="H15" i="82"/>
  <c r="H14" i="82"/>
  <c r="H13" i="82"/>
  <c r="H12" i="82"/>
  <c r="H11" i="82"/>
  <c r="H10" i="82"/>
  <c r="H9" i="82"/>
  <c r="H8" i="82"/>
  <c r="H32" i="73"/>
  <c r="H31" i="73"/>
  <c r="H30" i="73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3" i="73"/>
  <c r="H12" i="73"/>
  <c r="H11" i="73"/>
  <c r="H10" i="73"/>
  <c r="H9" i="73"/>
  <c r="H8" i="73"/>
  <c r="H32" i="72"/>
  <c r="H31" i="72"/>
  <c r="H30" i="72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3" i="72"/>
  <c r="H12" i="72"/>
  <c r="H11" i="72"/>
  <c r="H10" i="72"/>
  <c r="H9" i="72"/>
  <c r="H8" i="72"/>
  <c r="K32" i="63"/>
  <c r="K31" i="63"/>
  <c r="K30" i="63"/>
  <c r="K29" i="63"/>
  <c r="K28" i="63"/>
  <c r="K27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32" i="62"/>
  <c r="K31" i="62"/>
  <c r="K30" i="62"/>
  <c r="K29" i="62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N32" i="92"/>
  <c r="N31" i="92"/>
  <c r="N30" i="92"/>
  <c r="N29" i="92"/>
  <c r="N28" i="92"/>
  <c r="N27" i="92"/>
  <c r="N26" i="92"/>
  <c r="N25" i="92"/>
  <c r="N24" i="92"/>
  <c r="N23" i="92"/>
  <c r="N22" i="92"/>
  <c r="N21" i="92"/>
  <c r="N20" i="92"/>
  <c r="N19" i="92"/>
  <c r="N18" i="92"/>
  <c r="N17" i="92"/>
  <c r="N16" i="92"/>
  <c r="N15" i="92"/>
  <c r="N14" i="92"/>
  <c r="N13" i="92"/>
  <c r="N12" i="92"/>
  <c r="N11" i="92"/>
  <c r="N10" i="92"/>
  <c r="N9" i="92"/>
  <c r="N8" i="92"/>
  <c r="N32" i="91"/>
  <c r="N31" i="91"/>
  <c r="N30" i="91"/>
  <c r="N29" i="91"/>
  <c r="N28" i="91"/>
  <c r="N27" i="91"/>
  <c r="N26" i="91"/>
  <c r="N25" i="91"/>
  <c r="N24" i="91"/>
  <c r="N23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N10" i="91"/>
  <c r="N9" i="91"/>
  <c r="N8" i="91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M11" i="83"/>
  <c r="M10" i="83"/>
  <c r="M9" i="83"/>
  <c r="M8" i="83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14" i="82"/>
  <c r="M13" i="82"/>
  <c r="M12" i="82"/>
  <c r="M11" i="82"/>
  <c r="M10" i="82"/>
  <c r="M9" i="82"/>
  <c r="M8" i="82"/>
  <c r="M32" i="73"/>
  <c r="M31" i="73"/>
  <c r="M30" i="73"/>
  <c r="M29" i="73"/>
  <c r="M28" i="73"/>
  <c r="M27" i="73"/>
  <c r="M26" i="73"/>
  <c r="M25" i="73"/>
  <c r="M24" i="73"/>
  <c r="M23" i="73"/>
  <c r="M22" i="73"/>
  <c r="M21" i="73"/>
  <c r="M20" i="73"/>
  <c r="M19" i="73"/>
  <c r="M18" i="73"/>
  <c r="M17" i="73"/>
  <c r="M16" i="73"/>
  <c r="M15" i="73"/>
  <c r="M14" i="73"/>
  <c r="M13" i="73"/>
  <c r="M12" i="73"/>
  <c r="M11" i="73"/>
  <c r="M10" i="73"/>
  <c r="M9" i="73"/>
  <c r="M8" i="73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8" i="72"/>
  <c r="V32" i="63"/>
  <c r="V31" i="63"/>
  <c r="V30" i="63"/>
  <c r="V29" i="63"/>
  <c r="V28" i="63"/>
  <c r="V27" i="63"/>
  <c r="V26" i="63"/>
  <c r="V25" i="63"/>
  <c r="V24" i="63"/>
  <c r="V23" i="63"/>
  <c r="V22" i="63"/>
  <c r="V21" i="63"/>
  <c r="V20" i="63"/>
  <c r="V19" i="63"/>
  <c r="V18" i="63"/>
  <c r="V17" i="63"/>
  <c r="V16" i="63"/>
  <c r="V15" i="63"/>
  <c r="V14" i="63"/>
  <c r="V13" i="63"/>
  <c r="V12" i="63"/>
  <c r="V11" i="63"/>
  <c r="V10" i="63"/>
  <c r="V9" i="63"/>
  <c r="V8" i="63"/>
  <c r="V32" i="62"/>
  <c r="V31" i="62"/>
  <c r="V30" i="62"/>
  <c r="V29" i="62"/>
  <c r="V28" i="62"/>
  <c r="V27" i="62"/>
  <c r="V26" i="62"/>
  <c r="V25" i="62"/>
  <c r="V24" i="62"/>
  <c r="V23" i="62"/>
  <c r="V22" i="62"/>
  <c r="V21" i="62"/>
  <c r="V20" i="62"/>
  <c r="V19" i="62"/>
  <c r="V18" i="62"/>
  <c r="V17" i="62"/>
  <c r="V16" i="62"/>
  <c r="V15" i="62"/>
  <c r="V14" i="62"/>
  <c r="V13" i="62"/>
  <c r="V12" i="62"/>
  <c r="V11" i="62"/>
  <c r="V10" i="62"/>
  <c r="V9" i="62"/>
  <c r="V8" i="62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Q31" i="63"/>
  <c r="T31" i="63" s="1"/>
  <c r="Q23" i="63"/>
  <c r="Q15" i="63"/>
  <c r="Q32" i="62"/>
  <c r="Q31" i="62"/>
  <c r="Q27" i="62"/>
  <c r="Q24" i="62"/>
  <c r="Q23" i="62"/>
  <c r="Q19" i="62"/>
  <c r="Q16" i="62"/>
  <c r="Q15" i="62"/>
  <c r="Q11" i="62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13" i="92"/>
  <c r="L12" i="92"/>
  <c r="L11" i="92"/>
  <c r="L10" i="92"/>
  <c r="L9" i="92"/>
  <c r="L8" i="92"/>
  <c r="M32" i="91"/>
  <c r="M31" i="91"/>
  <c r="M30" i="91"/>
  <c r="M29" i="91"/>
  <c r="M28" i="91"/>
  <c r="M27" i="91"/>
  <c r="M26" i="91"/>
  <c r="M25" i="91"/>
  <c r="M24" i="91"/>
  <c r="M23" i="91"/>
  <c r="M22" i="91"/>
  <c r="M21" i="91"/>
  <c r="M20" i="91"/>
  <c r="M19" i="91"/>
  <c r="M18" i="91"/>
  <c r="M17" i="91"/>
  <c r="M16" i="91"/>
  <c r="M15" i="91"/>
  <c r="M14" i="91"/>
  <c r="M13" i="91"/>
  <c r="M12" i="91"/>
  <c r="M11" i="91"/>
  <c r="M10" i="91"/>
  <c r="M9" i="91"/>
  <c r="M8" i="91"/>
  <c r="L32" i="83"/>
  <c r="L31" i="83"/>
  <c r="L30" i="83"/>
  <c r="L29" i="83"/>
  <c r="L28" i="83"/>
  <c r="L27" i="83"/>
  <c r="L26" i="83"/>
  <c r="L25" i="83"/>
  <c r="L24" i="83"/>
  <c r="L23" i="83"/>
  <c r="L22" i="83"/>
  <c r="L21" i="83"/>
  <c r="L20" i="83"/>
  <c r="L19" i="83"/>
  <c r="L18" i="83"/>
  <c r="L17" i="83"/>
  <c r="L16" i="83"/>
  <c r="L15" i="83"/>
  <c r="L14" i="83"/>
  <c r="L13" i="83"/>
  <c r="L12" i="83"/>
  <c r="L11" i="83"/>
  <c r="L10" i="83"/>
  <c r="L9" i="83"/>
  <c r="L8" i="83"/>
  <c r="L32" i="82"/>
  <c r="L31" i="82"/>
  <c r="L30" i="82"/>
  <c r="L29" i="82"/>
  <c r="L28" i="82"/>
  <c r="L27" i="82"/>
  <c r="L26" i="82"/>
  <c r="L25" i="82"/>
  <c r="L24" i="82"/>
  <c r="L23" i="82"/>
  <c r="L22" i="82"/>
  <c r="L21" i="82"/>
  <c r="L20" i="82"/>
  <c r="L19" i="82"/>
  <c r="L18" i="82"/>
  <c r="L17" i="82"/>
  <c r="L16" i="82"/>
  <c r="L15" i="82"/>
  <c r="L14" i="82"/>
  <c r="L13" i="82"/>
  <c r="L12" i="82"/>
  <c r="L11" i="82"/>
  <c r="L10" i="82"/>
  <c r="L9" i="82"/>
  <c r="L8" i="82"/>
  <c r="L32" i="73"/>
  <c r="L31" i="73"/>
  <c r="L30" i="73"/>
  <c r="L29" i="73"/>
  <c r="L28" i="73"/>
  <c r="L27" i="73"/>
  <c r="L26" i="73"/>
  <c r="L25" i="73"/>
  <c r="L24" i="73"/>
  <c r="L23" i="73"/>
  <c r="L22" i="73"/>
  <c r="L21" i="73"/>
  <c r="L20" i="73"/>
  <c r="L19" i="73"/>
  <c r="L18" i="73"/>
  <c r="L17" i="73"/>
  <c r="L16" i="73"/>
  <c r="L15" i="73"/>
  <c r="L14" i="73"/>
  <c r="L13" i="73"/>
  <c r="L12" i="73"/>
  <c r="L11" i="73"/>
  <c r="L10" i="73"/>
  <c r="L9" i="73"/>
  <c r="L8" i="73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L10" i="72"/>
  <c r="L9" i="72"/>
  <c r="L8" i="72"/>
  <c r="O32" i="63"/>
  <c r="O31" i="63"/>
  <c r="O30" i="63"/>
  <c r="O29" i="63"/>
  <c r="O28" i="63"/>
  <c r="O27" i="63"/>
  <c r="O26" i="63"/>
  <c r="O25" i="63"/>
  <c r="O24" i="63"/>
  <c r="O23" i="63"/>
  <c r="O22" i="63"/>
  <c r="O21" i="63"/>
  <c r="O20" i="63"/>
  <c r="O19" i="63"/>
  <c r="O18" i="63"/>
  <c r="O17" i="63"/>
  <c r="O16" i="63"/>
  <c r="O15" i="63"/>
  <c r="O14" i="63"/>
  <c r="O13" i="63"/>
  <c r="O12" i="63"/>
  <c r="O11" i="63"/>
  <c r="O10" i="63"/>
  <c r="O9" i="63"/>
  <c r="O8" i="63"/>
  <c r="O32" i="62"/>
  <c r="O31" i="62"/>
  <c r="O30" i="62"/>
  <c r="O29" i="62"/>
  <c r="O28" i="62"/>
  <c r="O27" i="62"/>
  <c r="O26" i="62"/>
  <c r="O25" i="62"/>
  <c r="O24" i="62"/>
  <c r="O23" i="62"/>
  <c r="O22" i="62"/>
  <c r="O21" i="62"/>
  <c r="O20" i="62"/>
  <c r="O19" i="62"/>
  <c r="O18" i="62"/>
  <c r="O17" i="62"/>
  <c r="O16" i="62"/>
  <c r="O15" i="62"/>
  <c r="O14" i="62"/>
  <c r="O13" i="62"/>
  <c r="O12" i="62"/>
  <c r="O11" i="62"/>
  <c r="O10" i="62"/>
  <c r="O9" i="62"/>
  <c r="O8" i="62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32" i="92"/>
  <c r="Q31" i="92"/>
  <c r="Q30" i="92"/>
  <c r="Q29" i="92"/>
  <c r="Q28" i="92"/>
  <c r="Q27" i="92"/>
  <c r="Q26" i="92"/>
  <c r="Q25" i="92"/>
  <c r="Q24" i="92"/>
  <c r="Q23" i="92"/>
  <c r="Q22" i="92"/>
  <c r="Q21" i="92"/>
  <c r="Q20" i="92"/>
  <c r="Q19" i="92"/>
  <c r="Q18" i="92"/>
  <c r="Q17" i="92"/>
  <c r="Q16" i="92"/>
  <c r="Q15" i="92"/>
  <c r="Q14" i="92"/>
  <c r="Q13" i="92"/>
  <c r="Q12" i="92"/>
  <c r="Q11" i="92"/>
  <c r="Q10" i="92"/>
  <c r="Q9" i="92"/>
  <c r="Q8" i="92"/>
  <c r="Q32" i="91"/>
  <c r="Q31" i="91"/>
  <c r="Q30" i="91"/>
  <c r="Q29" i="91"/>
  <c r="Q28" i="91"/>
  <c r="Q27" i="91"/>
  <c r="Q26" i="91"/>
  <c r="Q25" i="91"/>
  <c r="Q24" i="91"/>
  <c r="Q23" i="91"/>
  <c r="Q22" i="91"/>
  <c r="Q21" i="91"/>
  <c r="Q20" i="91"/>
  <c r="Q19" i="91"/>
  <c r="Q18" i="91"/>
  <c r="Q17" i="91"/>
  <c r="Q16" i="91"/>
  <c r="Q15" i="91"/>
  <c r="Q14" i="91"/>
  <c r="Q13" i="91"/>
  <c r="Q12" i="91"/>
  <c r="Q11" i="91"/>
  <c r="Q10" i="91"/>
  <c r="Q9" i="91"/>
  <c r="Q8" i="91"/>
  <c r="S32" i="63"/>
  <c r="Z32" i="63"/>
  <c r="AB32" i="63"/>
  <c r="S31" i="63"/>
  <c r="Z31" i="63"/>
  <c r="AB31" i="63"/>
  <c r="S30" i="63"/>
  <c r="Z30" i="63"/>
  <c r="AB30" i="63" s="1"/>
  <c r="S29" i="63"/>
  <c r="Z29" i="63"/>
  <c r="S28" i="63"/>
  <c r="AB28" i="63" s="1"/>
  <c r="Z28" i="63"/>
  <c r="S27" i="63"/>
  <c r="AB27" i="63" s="1"/>
  <c r="Z27" i="63"/>
  <c r="S26" i="63"/>
  <c r="AB26" i="63" s="1"/>
  <c r="Z26" i="63"/>
  <c r="S25" i="63"/>
  <c r="Z25" i="63"/>
  <c r="AB25" i="63"/>
  <c r="S24" i="63"/>
  <c r="Z24" i="63"/>
  <c r="AB24" i="63"/>
  <c r="S23" i="63"/>
  <c r="Z23" i="63"/>
  <c r="AB23" i="63"/>
  <c r="S22" i="63"/>
  <c r="Z22" i="63"/>
  <c r="AB22" i="63" s="1"/>
  <c r="S21" i="63"/>
  <c r="AB21" i="63" s="1"/>
  <c r="L21" i="113" s="1"/>
  <c r="Z21" i="63"/>
  <c r="S20" i="63"/>
  <c r="AB20" i="63" s="1"/>
  <c r="Z20" i="63"/>
  <c r="S19" i="63"/>
  <c r="AB19" i="63" s="1"/>
  <c r="Z19" i="63"/>
  <c r="S18" i="63"/>
  <c r="AB18" i="63" s="1"/>
  <c r="Z18" i="63"/>
  <c r="S17" i="63"/>
  <c r="Z17" i="63"/>
  <c r="AB17" i="63"/>
  <c r="S16" i="63"/>
  <c r="Z16" i="63"/>
  <c r="AB16" i="63"/>
  <c r="S15" i="63"/>
  <c r="Z15" i="63"/>
  <c r="AB15" i="63"/>
  <c r="S14" i="63"/>
  <c r="Z14" i="63"/>
  <c r="AB14" i="63" s="1"/>
  <c r="S13" i="63"/>
  <c r="AB13" i="63" s="1"/>
  <c r="Z13" i="63"/>
  <c r="S12" i="63"/>
  <c r="AB12" i="63" s="1"/>
  <c r="Z12" i="63"/>
  <c r="S11" i="63"/>
  <c r="AB11" i="63" s="1"/>
  <c r="Z11" i="63"/>
  <c r="S10" i="63"/>
  <c r="AB10" i="63" s="1"/>
  <c r="Z10" i="63"/>
  <c r="S9" i="63"/>
  <c r="Z9" i="63"/>
  <c r="AB9" i="63"/>
  <c r="S8" i="63"/>
  <c r="Z8" i="63"/>
  <c r="AB8" i="63"/>
  <c r="S32" i="62"/>
  <c r="Y32" i="62"/>
  <c r="AC32" i="62"/>
  <c r="S31" i="62"/>
  <c r="Y31" i="62"/>
  <c r="AC31" i="62" s="1"/>
  <c r="S30" i="62"/>
  <c r="AC30" i="62" s="1"/>
  <c r="Y30" i="62"/>
  <c r="S29" i="62"/>
  <c r="AC29" i="62" s="1"/>
  <c r="L29" i="112" s="1"/>
  <c r="Y29" i="62"/>
  <c r="S28" i="62"/>
  <c r="AC28" i="62" s="1"/>
  <c r="Y28" i="62"/>
  <c r="S27" i="62"/>
  <c r="AC27" i="62" s="1"/>
  <c r="Y27" i="62"/>
  <c r="S26" i="62"/>
  <c r="Y26" i="62"/>
  <c r="AC26" i="62"/>
  <c r="L26" i="112" s="1"/>
  <c r="S25" i="62"/>
  <c r="Y25" i="62"/>
  <c r="AC25" i="62"/>
  <c r="S24" i="62"/>
  <c r="Y24" i="62"/>
  <c r="AC24" i="62"/>
  <c r="S23" i="62"/>
  <c r="Y23" i="62"/>
  <c r="S22" i="62"/>
  <c r="AC22" i="62" s="1"/>
  <c r="Y22" i="62"/>
  <c r="S21" i="62"/>
  <c r="AC21" i="62" s="1"/>
  <c r="Y21" i="62"/>
  <c r="S20" i="62"/>
  <c r="AC20" i="62" s="1"/>
  <c r="Y20" i="62"/>
  <c r="S19" i="62"/>
  <c r="AC19" i="62" s="1"/>
  <c r="Y19" i="62"/>
  <c r="S18" i="62"/>
  <c r="Y18" i="62"/>
  <c r="AC18" i="62"/>
  <c r="S17" i="62"/>
  <c r="Y17" i="62"/>
  <c r="AC17" i="62"/>
  <c r="S16" i="62"/>
  <c r="Y16" i="62"/>
  <c r="AC16" i="62"/>
  <c r="S15" i="62"/>
  <c r="Y15" i="62"/>
  <c r="AC15" i="62" s="1"/>
  <c r="S14" i="62"/>
  <c r="AC14" i="62" s="1"/>
  <c r="Y14" i="62"/>
  <c r="S13" i="62"/>
  <c r="AC13" i="62" s="1"/>
  <c r="Y13" i="62"/>
  <c r="S12" i="62"/>
  <c r="Y12" i="62"/>
  <c r="S11" i="62"/>
  <c r="AC11" i="62" s="1"/>
  <c r="Y11" i="62"/>
  <c r="S10" i="62"/>
  <c r="Y10" i="62"/>
  <c r="AC10" i="62"/>
  <c r="S9" i="62"/>
  <c r="Y9" i="62"/>
  <c r="AC9" i="62"/>
  <c r="S8" i="62"/>
  <c r="Y8" i="62"/>
  <c r="AC8" i="62"/>
  <c r="S32" i="3"/>
  <c r="P32" i="3"/>
  <c r="Q32" i="3"/>
  <c r="E32" i="3"/>
  <c r="Y32" i="3"/>
  <c r="W32" i="3"/>
  <c r="S31" i="3"/>
  <c r="P31" i="3"/>
  <c r="AD31" i="3" s="1"/>
  <c r="V31" i="3"/>
  <c r="AA31" i="3" s="1"/>
  <c r="Q31" i="3"/>
  <c r="E31" i="3"/>
  <c r="Y31" i="3" s="1"/>
  <c r="W31" i="3"/>
  <c r="AF31" i="3"/>
  <c r="S30" i="3"/>
  <c r="P30" i="3"/>
  <c r="Q30" i="3"/>
  <c r="E30" i="3"/>
  <c r="Y30" i="3" s="1"/>
  <c r="W30" i="3"/>
  <c r="S29" i="3"/>
  <c r="P29" i="3"/>
  <c r="U29" i="3"/>
  <c r="V29" i="3" s="1"/>
  <c r="AA29" i="3" s="1"/>
  <c r="Q29" i="3"/>
  <c r="E29" i="3"/>
  <c r="Y29" i="3"/>
  <c r="Y35" i="3" s="1"/>
  <c r="W29" i="3"/>
  <c r="Z29" i="3"/>
  <c r="S28" i="3"/>
  <c r="P28" i="3"/>
  <c r="Q28" i="3"/>
  <c r="E28" i="3"/>
  <c r="Y28" i="3"/>
  <c r="W28" i="3"/>
  <c r="S27" i="3"/>
  <c r="P27" i="3"/>
  <c r="U27" i="3"/>
  <c r="V27" i="3"/>
  <c r="Q27" i="3"/>
  <c r="E27" i="3"/>
  <c r="Y27" i="3" s="1"/>
  <c r="W27" i="3"/>
  <c r="S26" i="3"/>
  <c r="P26" i="3"/>
  <c r="Q26" i="3"/>
  <c r="E26" i="3"/>
  <c r="Y26" i="3" s="1"/>
  <c r="W26" i="3"/>
  <c r="S25" i="3"/>
  <c r="P25" i="3"/>
  <c r="AE25" i="3" s="1"/>
  <c r="U25" i="3"/>
  <c r="V25" i="3" s="1"/>
  <c r="AA25" i="3" s="1"/>
  <c r="Q25" i="3"/>
  <c r="E25" i="3"/>
  <c r="Y25" i="3"/>
  <c r="W25" i="3"/>
  <c r="Z25" i="3"/>
  <c r="AD25" i="3" s="1"/>
  <c r="S24" i="3"/>
  <c r="P24" i="3"/>
  <c r="Q24" i="3"/>
  <c r="E24" i="3"/>
  <c r="Y24" i="3"/>
  <c r="W24" i="3"/>
  <c r="S23" i="3"/>
  <c r="P23" i="3"/>
  <c r="AD23" i="3" s="1"/>
  <c r="V23" i="3"/>
  <c r="AA23" i="3" s="1"/>
  <c r="Q23" i="3"/>
  <c r="E23" i="3"/>
  <c r="Y23" i="3" s="1"/>
  <c r="W23" i="3"/>
  <c r="AF23" i="3"/>
  <c r="S22" i="3"/>
  <c r="P22" i="3"/>
  <c r="Q22" i="3"/>
  <c r="E22" i="3"/>
  <c r="Y22" i="3" s="1"/>
  <c r="W22" i="3"/>
  <c r="S21" i="3"/>
  <c r="AG21" i="3" s="1"/>
  <c r="P21" i="3"/>
  <c r="AE21" i="3" s="1"/>
  <c r="U21" i="3"/>
  <c r="V21" i="3" s="1"/>
  <c r="AA21" i="3" s="1"/>
  <c r="Q21" i="3"/>
  <c r="E21" i="3"/>
  <c r="Y21" i="3"/>
  <c r="W21" i="3"/>
  <c r="Z21" i="3"/>
  <c r="AD21" i="3" s="1"/>
  <c r="S20" i="3"/>
  <c r="P20" i="3"/>
  <c r="Q20" i="3"/>
  <c r="E20" i="3"/>
  <c r="Y20" i="3"/>
  <c r="W20" i="3"/>
  <c r="S19" i="3"/>
  <c r="P19" i="3"/>
  <c r="U19" i="3"/>
  <c r="V19" i="3"/>
  <c r="Q19" i="3"/>
  <c r="E19" i="3"/>
  <c r="Y19" i="3" s="1"/>
  <c r="W19" i="3"/>
  <c r="S18" i="3"/>
  <c r="P18" i="3"/>
  <c r="Q18" i="3"/>
  <c r="E18" i="3"/>
  <c r="Y18" i="3" s="1"/>
  <c r="W18" i="3"/>
  <c r="S17" i="3"/>
  <c r="P17" i="3"/>
  <c r="U17" i="3"/>
  <c r="V17" i="3" s="1"/>
  <c r="AA17" i="3" s="1"/>
  <c r="AE17" i="3" s="1"/>
  <c r="Q17" i="3"/>
  <c r="E17" i="3"/>
  <c r="Y17" i="3"/>
  <c r="W17" i="3"/>
  <c r="Z17" i="3"/>
  <c r="AD17" i="3" s="1"/>
  <c r="S16" i="3"/>
  <c r="P16" i="3"/>
  <c r="Q16" i="3"/>
  <c r="E16" i="3"/>
  <c r="Y16" i="3"/>
  <c r="W16" i="3"/>
  <c r="S15" i="3"/>
  <c r="P15" i="3"/>
  <c r="AD15" i="3" s="1"/>
  <c r="V15" i="3"/>
  <c r="AA15" i="3" s="1"/>
  <c r="Q15" i="3"/>
  <c r="E15" i="3"/>
  <c r="Y15" i="3" s="1"/>
  <c r="W15" i="3"/>
  <c r="AF15" i="3"/>
  <c r="S14" i="3"/>
  <c r="P14" i="3"/>
  <c r="Q14" i="3"/>
  <c r="E14" i="3"/>
  <c r="Y14" i="3" s="1"/>
  <c r="W14" i="3"/>
  <c r="S13" i="3"/>
  <c r="P13" i="3"/>
  <c r="U13" i="3"/>
  <c r="V13" i="3" s="1"/>
  <c r="AA13" i="3" s="1"/>
  <c r="AE13" i="3" s="1"/>
  <c r="Q13" i="3"/>
  <c r="E13" i="3"/>
  <c r="Y13" i="3"/>
  <c r="W13" i="3"/>
  <c r="S12" i="3"/>
  <c r="P12" i="3"/>
  <c r="Q12" i="3"/>
  <c r="E12" i="3"/>
  <c r="Y12" i="3"/>
  <c r="W12" i="3"/>
  <c r="S11" i="3"/>
  <c r="P11" i="3"/>
  <c r="U11" i="3"/>
  <c r="V11" i="3"/>
  <c r="Q11" i="3"/>
  <c r="E11" i="3"/>
  <c r="Y11" i="3" s="1"/>
  <c r="W11" i="3"/>
  <c r="S10" i="3"/>
  <c r="P10" i="3"/>
  <c r="Q10" i="3"/>
  <c r="Q35" i="3" s="1"/>
  <c r="E10" i="3"/>
  <c r="Y10" i="3" s="1"/>
  <c r="W10" i="3"/>
  <c r="S9" i="3"/>
  <c r="P9" i="3"/>
  <c r="U9" i="3"/>
  <c r="V9" i="3" s="1"/>
  <c r="AA9" i="3" s="1"/>
  <c r="AE9" i="3" s="1"/>
  <c r="Q9" i="3"/>
  <c r="E9" i="3"/>
  <c r="Y9" i="3"/>
  <c r="W9" i="3"/>
  <c r="S8" i="3"/>
  <c r="P8" i="3"/>
  <c r="Q8" i="3"/>
  <c r="E8" i="3"/>
  <c r="Y8" i="3"/>
  <c r="W8" i="3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32" i="92"/>
  <c r="M31" i="92"/>
  <c r="M30" i="92"/>
  <c r="M28" i="92"/>
  <c r="M26" i="92"/>
  <c r="M24" i="92"/>
  <c r="M23" i="92"/>
  <c r="M22" i="92"/>
  <c r="M20" i="92"/>
  <c r="M18" i="92"/>
  <c r="M16" i="92"/>
  <c r="M15" i="92"/>
  <c r="M14" i="92"/>
  <c r="M12" i="92"/>
  <c r="M10" i="92"/>
  <c r="M8" i="92"/>
  <c r="L32" i="91"/>
  <c r="L31" i="91"/>
  <c r="L30" i="91"/>
  <c r="L29" i="91"/>
  <c r="L28" i="91"/>
  <c r="L27" i="91"/>
  <c r="L26" i="91"/>
  <c r="L25" i="91"/>
  <c r="L24" i="91"/>
  <c r="L23" i="91"/>
  <c r="L22" i="91"/>
  <c r="L21" i="91"/>
  <c r="L20" i="91"/>
  <c r="L19" i="91"/>
  <c r="L18" i="91"/>
  <c r="L17" i="91"/>
  <c r="L16" i="91"/>
  <c r="L15" i="91"/>
  <c r="L14" i="91"/>
  <c r="L13" i="91"/>
  <c r="L12" i="91"/>
  <c r="L11" i="91"/>
  <c r="L10" i="91"/>
  <c r="L9" i="91"/>
  <c r="L8" i="91"/>
  <c r="E32" i="83"/>
  <c r="K32" i="83" s="1"/>
  <c r="E31" i="83"/>
  <c r="K31" i="83" s="1"/>
  <c r="E30" i="83"/>
  <c r="K30" i="83"/>
  <c r="E29" i="83"/>
  <c r="K29" i="83"/>
  <c r="E28" i="83"/>
  <c r="K28" i="83" s="1"/>
  <c r="E27" i="83"/>
  <c r="E26" i="83"/>
  <c r="K26" i="83"/>
  <c r="E25" i="83"/>
  <c r="K25" i="83"/>
  <c r="E24" i="83"/>
  <c r="K24" i="83" s="1"/>
  <c r="E23" i="83"/>
  <c r="K23" i="83" s="1"/>
  <c r="E22" i="83"/>
  <c r="K22" i="83"/>
  <c r="E21" i="83"/>
  <c r="K21" i="83"/>
  <c r="E20" i="83"/>
  <c r="K20" i="83" s="1"/>
  <c r="E19" i="83"/>
  <c r="K19" i="83" s="1"/>
  <c r="E18" i="83"/>
  <c r="K18" i="83"/>
  <c r="E17" i="83"/>
  <c r="K17" i="83"/>
  <c r="E16" i="83"/>
  <c r="K16" i="83" s="1"/>
  <c r="E15" i="83"/>
  <c r="K15" i="83" s="1"/>
  <c r="E14" i="83"/>
  <c r="K14" i="83"/>
  <c r="E13" i="83"/>
  <c r="K13" i="83"/>
  <c r="E12" i="83"/>
  <c r="K12" i="83" s="1"/>
  <c r="E11" i="83"/>
  <c r="E10" i="83"/>
  <c r="K10" i="83"/>
  <c r="E9" i="83"/>
  <c r="K9" i="83"/>
  <c r="E8" i="83"/>
  <c r="K8" i="83" s="1"/>
  <c r="E32" i="82"/>
  <c r="K32" i="82" s="1"/>
  <c r="E31" i="82"/>
  <c r="K31" i="82"/>
  <c r="E30" i="82"/>
  <c r="K30" i="82"/>
  <c r="E29" i="82"/>
  <c r="K29" i="82" s="1"/>
  <c r="E28" i="82"/>
  <c r="K28" i="82" s="1"/>
  <c r="E27" i="82"/>
  <c r="K27" i="82"/>
  <c r="E26" i="82"/>
  <c r="K26" i="82"/>
  <c r="E25" i="82"/>
  <c r="K25" i="82" s="1"/>
  <c r="E24" i="82"/>
  <c r="K24" i="82" s="1"/>
  <c r="E23" i="82"/>
  <c r="K23" i="82"/>
  <c r="E22" i="82"/>
  <c r="K22" i="82"/>
  <c r="E21" i="82"/>
  <c r="K21" i="82" s="1"/>
  <c r="E20" i="82"/>
  <c r="K20" i="82" s="1"/>
  <c r="E19" i="82"/>
  <c r="K19" i="82"/>
  <c r="E18" i="82"/>
  <c r="K18" i="82"/>
  <c r="E17" i="82"/>
  <c r="K17" i="82" s="1"/>
  <c r="E16" i="82"/>
  <c r="K16" i="82" s="1"/>
  <c r="E15" i="82"/>
  <c r="K15" i="82"/>
  <c r="E14" i="82"/>
  <c r="K14" i="82"/>
  <c r="E13" i="82"/>
  <c r="K13" i="82" s="1"/>
  <c r="E12" i="82"/>
  <c r="K12" i="82" s="1"/>
  <c r="E11" i="82"/>
  <c r="K11" i="82"/>
  <c r="E10" i="82"/>
  <c r="K10" i="82"/>
  <c r="E9" i="82"/>
  <c r="K9" i="82" s="1"/>
  <c r="E8" i="82"/>
  <c r="K8" i="82" s="1"/>
  <c r="E32" i="73"/>
  <c r="K32" i="73"/>
  <c r="E31" i="73"/>
  <c r="K31" i="73"/>
  <c r="E30" i="73"/>
  <c r="K30" i="73" s="1"/>
  <c r="E29" i="73"/>
  <c r="K29" i="73" s="1"/>
  <c r="E28" i="73"/>
  <c r="K28" i="73"/>
  <c r="E27" i="73"/>
  <c r="K27" i="73"/>
  <c r="E26" i="73"/>
  <c r="K26" i="73" s="1"/>
  <c r="E25" i="73"/>
  <c r="K25" i="73" s="1"/>
  <c r="E24" i="73"/>
  <c r="K24" i="73"/>
  <c r="E23" i="73"/>
  <c r="K23" i="73"/>
  <c r="E22" i="73"/>
  <c r="K22" i="73" s="1"/>
  <c r="E21" i="73"/>
  <c r="K21" i="73" s="1"/>
  <c r="E20" i="73"/>
  <c r="K20" i="73"/>
  <c r="E19" i="73"/>
  <c r="K19" i="73"/>
  <c r="E18" i="73"/>
  <c r="K18" i="73" s="1"/>
  <c r="E17" i="73"/>
  <c r="K17" i="73" s="1"/>
  <c r="E16" i="73"/>
  <c r="K16" i="73"/>
  <c r="E15" i="73"/>
  <c r="K15" i="73"/>
  <c r="E14" i="73"/>
  <c r="K14" i="73" s="1"/>
  <c r="E13" i="73"/>
  <c r="K13" i="73" s="1"/>
  <c r="E12" i="73"/>
  <c r="K12" i="73"/>
  <c r="E11" i="73"/>
  <c r="K11" i="73"/>
  <c r="E10" i="73"/>
  <c r="K10" i="73" s="1"/>
  <c r="E9" i="73"/>
  <c r="K9" i="73" s="1"/>
  <c r="E8" i="73"/>
  <c r="K8" i="73"/>
  <c r="E32" i="72"/>
  <c r="K32" i="72"/>
  <c r="E31" i="72"/>
  <c r="K31" i="72" s="1"/>
  <c r="E30" i="72"/>
  <c r="K30" i="72" s="1"/>
  <c r="E29" i="72"/>
  <c r="K29" i="72"/>
  <c r="E28" i="72"/>
  <c r="K28" i="72"/>
  <c r="E27" i="72"/>
  <c r="K27" i="72" s="1"/>
  <c r="E26" i="72"/>
  <c r="K26" i="72" s="1"/>
  <c r="E25" i="72"/>
  <c r="K25" i="72"/>
  <c r="E24" i="72"/>
  <c r="K24" i="72"/>
  <c r="E23" i="72"/>
  <c r="K23" i="72" s="1"/>
  <c r="E22" i="72"/>
  <c r="K22" i="72" s="1"/>
  <c r="E21" i="72"/>
  <c r="K21" i="72"/>
  <c r="E20" i="72"/>
  <c r="K20" i="72"/>
  <c r="E19" i="72"/>
  <c r="K19" i="72" s="1"/>
  <c r="E18" i="72"/>
  <c r="K18" i="72" s="1"/>
  <c r="E17" i="72"/>
  <c r="K17" i="72"/>
  <c r="E16" i="72"/>
  <c r="K16" i="72"/>
  <c r="E15" i="72"/>
  <c r="K15" i="72" s="1"/>
  <c r="E14" i="72"/>
  <c r="K14" i="72" s="1"/>
  <c r="E13" i="72"/>
  <c r="K13" i="72"/>
  <c r="E12" i="72"/>
  <c r="K12" i="72"/>
  <c r="E11" i="72"/>
  <c r="K11" i="72" s="1"/>
  <c r="E10" i="72"/>
  <c r="K10" i="72" s="1"/>
  <c r="E9" i="72"/>
  <c r="K9" i="72"/>
  <c r="E8" i="72"/>
  <c r="K8" i="72"/>
  <c r="H32" i="63"/>
  <c r="P32" i="63" s="1"/>
  <c r="H31" i="63"/>
  <c r="P31" i="63" s="1"/>
  <c r="H30" i="63"/>
  <c r="P30" i="63"/>
  <c r="H29" i="63"/>
  <c r="P29" i="63"/>
  <c r="H28" i="63"/>
  <c r="P28" i="63" s="1"/>
  <c r="H27" i="63"/>
  <c r="P27" i="63" s="1"/>
  <c r="H26" i="63"/>
  <c r="P26" i="63"/>
  <c r="H25" i="63"/>
  <c r="P25" i="63"/>
  <c r="H24" i="63"/>
  <c r="P24" i="63" s="1"/>
  <c r="H23" i="63"/>
  <c r="P23" i="63" s="1"/>
  <c r="H22" i="63"/>
  <c r="P22" i="63"/>
  <c r="H21" i="63"/>
  <c r="P21" i="63"/>
  <c r="H20" i="63"/>
  <c r="P20" i="63" s="1"/>
  <c r="H19" i="63"/>
  <c r="P19" i="63" s="1"/>
  <c r="H18" i="63"/>
  <c r="P18" i="63"/>
  <c r="H17" i="63"/>
  <c r="P17" i="63"/>
  <c r="H16" i="63"/>
  <c r="P16" i="63" s="1"/>
  <c r="H15" i="63"/>
  <c r="P15" i="63" s="1"/>
  <c r="H14" i="63"/>
  <c r="P14" i="63"/>
  <c r="H13" i="63"/>
  <c r="P13" i="63"/>
  <c r="H12" i="63"/>
  <c r="P12" i="63" s="1"/>
  <c r="H11" i="63"/>
  <c r="P11" i="63" s="1"/>
  <c r="H10" i="63"/>
  <c r="P10" i="63"/>
  <c r="H9" i="63"/>
  <c r="P9" i="63"/>
  <c r="H8" i="63"/>
  <c r="P8" i="63" s="1"/>
  <c r="F32" i="62"/>
  <c r="P32" i="62" s="1"/>
  <c r="F31" i="62"/>
  <c r="P31" i="62"/>
  <c r="F30" i="62"/>
  <c r="P30" i="62"/>
  <c r="F29" i="62"/>
  <c r="P29" i="62" s="1"/>
  <c r="F28" i="62"/>
  <c r="P28" i="62" s="1"/>
  <c r="F27" i="62"/>
  <c r="P27" i="62"/>
  <c r="F26" i="62"/>
  <c r="P26" i="62"/>
  <c r="F25" i="62"/>
  <c r="P25" i="62" s="1"/>
  <c r="F24" i="62"/>
  <c r="P24" i="62" s="1"/>
  <c r="F23" i="62"/>
  <c r="P23" i="62"/>
  <c r="F22" i="62"/>
  <c r="P22" i="62"/>
  <c r="F21" i="62"/>
  <c r="P21" i="62" s="1"/>
  <c r="F20" i="62"/>
  <c r="P20" i="62" s="1"/>
  <c r="F19" i="62"/>
  <c r="P19" i="62"/>
  <c r="F18" i="62"/>
  <c r="P18" i="62"/>
  <c r="F17" i="62"/>
  <c r="P17" i="62" s="1"/>
  <c r="F16" i="62"/>
  <c r="P16" i="62" s="1"/>
  <c r="F15" i="62"/>
  <c r="P15" i="62"/>
  <c r="F14" i="62"/>
  <c r="P14" i="62"/>
  <c r="F13" i="62"/>
  <c r="P13" i="62" s="1"/>
  <c r="F12" i="62"/>
  <c r="P12" i="62" s="1"/>
  <c r="F11" i="62"/>
  <c r="P11" i="62"/>
  <c r="F10" i="62"/>
  <c r="P10" i="62"/>
  <c r="F9" i="62"/>
  <c r="P9" i="62"/>
  <c r="F8" i="62"/>
  <c r="P8" i="62" s="1"/>
  <c r="S31" i="2"/>
  <c r="S29" i="2"/>
  <c r="S27" i="2"/>
  <c r="S26" i="2"/>
  <c r="S25" i="2"/>
  <c r="S23" i="2"/>
  <c r="S21" i="2"/>
  <c r="S20" i="2"/>
  <c r="S19" i="2"/>
  <c r="S18" i="2"/>
  <c r="S17" i="2"/>
  <c r="S15" i="2"/>
  <c r="S13" i="2"/>
  <c r="S12" i="2"/>
  <c r="S11" i="2"/>
  <c r="S10" i="2"/>
  <c r="S9" i="2"/>
  <c r="J32" i="24"/>
  <c r="J31" i="24"/>
  <c r="J30" i="24"/>
  <c r="J29" i="24"/>
  <c r="J28" i="24"/>
  <c r="J27" i="24"/>
  <c r="J25" i="24"/>
  <c r="J24" i="24"/>
  <c r="J23" i="24"/>
  <c r="J22" i="24"/>
  <c r="J21" i="24"/>
  <c r="J20" i="24"/>
  <c r="J19" i="24"/>
  <c r="J17" i="24"/>
  <c r="J16" i="24"/>
  <c r="J15" i="24"/>
  <c r="J14" i="24"/>
  <c r="J13" i="24"/>
  <c r="J12" i="24"/>
  <c r="J11" i="24"/>
  <c r="J9" i="24"/>
  <c r="J8" i="24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P32" i="113"/>
  <c r="P31" i="113"/>
  <c r="P30" i="113"/>
  <c r="P29" i="113"/>
  <c r="P28" i="113"/>
  <c r="P27" i="113"/>
  <c r="P26" i="113"/>
  <c r="P25" i="113"/>
  <c r="P24" i="113"/>
  <c r="P23" i="113"/>
  <c r="P22" i="113"/>
  <c r="P21" i="113"/>
  <c r="P20" i="113"/>
  <c r="P19" i="113"/>
  <c r="P18" i="113"/>
  <c r="P17" i="113"/>
  <c r="P16" i="113"/>
  <c r="P15" i="113"/>
  <c r="P14" i="113"/>
  <c r="P13" i="113"/>
  <c r="P12" i="113"/>
  <c r="P11" i="113"/>
  <c r="P10" i="113"/>
  <c r="P9" i="113"/>
  <c r="P8" i="113"/>
  <c r="P32" i="112"/>
  <c r="P31" i="112"/>
  <c r="P30" i="112"/>
  <c r="P29" i="112"/>
  <c r="P28" i="112"/>
  <c r="P27" i="112"/>
  <c r="P26" i="112"/>
  <c r="P25" i="112"/>
  <c r="P24" i="112"/>
  <c r="P23" i="112"/>
  <c r="P22" i="112"/>
  <c r="P21" i="112"/>
  <c r="P20" i="112"/>
  <c r="P19" i="112"/>
  <c r="P18" i="112"/>
  <c r="P17" i="112"/>
  <c r="P16" i="112"/>
  <c r="P15" i="112"/>
  <c r="P14" i="112"/>
  <c r="P13" i="112"/>
  <c r="P12" i="112"/>
  <c r="P11" i="112"/>
  <c r="P10" i="112"/>
  <c r="P9" i="112"/>
  <c r="P8" i="112"/>
  <c r="K32" i="92"/>
  <c r="I32" i="113" s="1"/>
  <c r="K31" i="92"/>
  <c r="K30" i="92"/>
  <c r="K29" i="92"/>
  <c r="K28" i="92"/>
  <c r="K27" i="92"/>
  <c r="K26" i="92"/>
  <c r="K25" i="92"/>
  <c r="K24" i="92"/>
  <c r="I24" i="113" s="1"/>
  <c r="K23" i="92"/>
  <c r="K22" i="92"/>
  <c r="K21" i="92"/>
  <c r="K20" i="92"/>
  <c r="K19" i="92"/>
  <c r="K18" i="92"/>
  <c r="K17" i="92"/>
  <c r="K16" i="92"/>
  <c r="K15" i="92"/>
  <c r="K14" i="92"/>
  <c r="K13" i="92"/>
  <c r="K12" i="92"/>
  <c r="K11" i="92"/>
  <c r="K10" i="92"/>
  <c r="K9" i="92"/>
  <c r="K8" i="92"/>
  <c r="K32" i="91"/>
  <c r="K31" i="91"/>
  <c r="K30" i="91"/>
  <c r="K29" i="91"/>
  <c r="K28" i="91"/>
  <c r="K27" i="91"/>
  <c r="K26" i="91"/>
  <c r="K25" i="91"/>
  <c r="I25" i="112" s="1"/>
  <c r="K24" i="91"/>
  <c r="K23" i="91"/>
  <c r="K22" i="91"/>
  <c r="K21" i="91"/>
  <c r="K20" i="91"/>
  <c r="K19" i="91"/>
  <c r="K18" i="91"/>
  <c r="K17" i="91"/>
  <c r="I17" i="112" s="1"/>
  <c r="K16" i="91"/>
  <c r="K15" i="91"/>
  <c r="K14" i="91"/>
  <c r="K13" i="91"/>
  <c r="K12" i="91"/>
  <c r="K11" i="91"/>
  <c r="K10" i="91"/>
  <c r="K9" i="91"/>
  <c r="I9" i="112" s="1"/>
  <c r="K8" i="91"/>
  <c r="Y32" i="63"/>
  <c r="Y31" i="63"/>
  <c r="Y30" i="63"/>
  <c r="Y29" i="63"/>
  <c r="Y28" i="63"/>
  <c r="Y27" i="63"/>
  <c r="Y26" i="63"/>
  <c r="Y25" i="63"/>
  <c r="Y24" i="63"/>
  <c r="Y23" i="63"/>
  <c r="Y22" i="63"/>
  <c r="Y21" i="63"/>
  <c r="Y20" i="63"/>
  <c r="Y19" i="63"/>
  <c r="Y18" i="63"/>
  <c r="Y17" i="63"/>
  <c r="Y16" i="63"/>
  <c r="Y15" i="63"/>
  <c r="Y14" i="63"/>
  <c r="Y13" i="63"/>
  <c r="Y12" i="63"/>
  <c r="Y11" i="63"/>
  <c r="Y10" i="63"/>
  <c r="Y35" i="63" s="1"/>
  <c r="Y9" i="63"/>
  <c r="Y8" i="63"/>
  <c r="R32" i="63"/>
  <c r="R31" i="63"/>
  <c r="R30" i="63"/>
  <c r="R29" i="63"/>
  <c r="R28" i="63"/>
  <c r="R27" i="63"/>
  <c r="I27" i="113" s="1"/>
  <c r="R26" i="63"/>
  <c r="R25" i="63"/>
  <c r="R24" i="63"/>
  <c r="R23" i="63"/>
  <c r="R22" i="63"/>
  <c r="R21" i="63"/>
  <c r="R20" i="63"/>
  <c r="R19" i="63"/>
  <c r="I19" i="113" s="1"/>
  <c r="R18" i="63"/>
  <c r="R17" i="63"/>
  <c r="R16" i="63"/>
  <c r="R15" i="63"/>
  <c r="R14" i="63"/>
  <c r="R13" i="63"/>
  <c r="R12" i="63"/>
  <c r="R11" i="63"/>
  <c r="R10" i="63"/>
  <c r="R9" i="63"/>
  <c r="R8" i="63"/>
  <c r="N32" i="63"/>
  <c r="N31" i="63"/>
  <c r="N30" i="63"/>
  <c r="N29" i="63"/>
  <c r="N28" i="63"/>
  <c r="I28" i="113" s="1"/>
  <c r="N27" i="63"/>
  <c r="N26" i="63"/>
  <c r="N25" i="63"/>
  <c r="N24" i="63"/>
  <c r="N23" i="63"/>
  <c r="N22" i="63"/>
  <c r="N21" i="63"/>
  <c r="N20" i="63"/>
  <c r="I20" i="113" s="1"/>
  <c r="N19" i="63"/>
  <c r="N18" i="63"/>
  <c r="N17" i="63"/>
  <c r="N16" i="63"/>
  <c r="N15" i="63"/>
  <c r="N14" i="63"/>
  <c r="N13" i="63"/>
  <c r="N12" i="63"/>
  <c r="N11" i="63"/>
  <c r="N10" i="63"/>
  <c r="N9" i="63"/>
  <c r="N8" i="63"/>
  <c r="Z32" i="62"/>
  <c r="Z31" i="62"/>
  <c r="Z30" i="62"/>
  <c r="Z29" i="62"/>
  <c r="I29" i="112" s="1"/>
  <c r="Z28" i="62"/>
  <c r="Z27" i="62"/>
  <c r="Z26" i="62"/>
  <c r="Z25" i="62"/>
  <c r="Z24" i="62"/>
  <c r="Z23" i="62"/>
  <c r="Z22" i="62"/>
  <c r="Z21" i="62"/>
  <c r="I21" i="112" s="1"/>
  <c r="Z20" i="62"/>
  <c r="Z19" i="62"/>
  <c r="Z18" i="62"/>
  <c r="Z17" i="62"/>
  <c r="Z16" i="62"/>
  <c r="Z15" i="62"/>
  <c r="Z14" i="62"/>
  <c r="Z13" i="62"/>
  <c r="Z12" i="62"/>
  <c r="Z11" i="62"/>
  <c r="Z10" i="62"/>
  <c r="Z9" i="62"/>
  <c r="Z8" i="62"/>
  <c r="R32" i="62"/>
  <c r="R31" i="62"/>
  <c r="R30" i="62"/>
  <c r="I30" i="112" s="1"/>
  <c r="R29" i="62"/>
  <c r="R28" i="62"/>
  <c r="R27" i="62"/>
  <c r="R26" i="62"/>
  <c r="R25" i="62"/>
  <c r="R24" i="62"/>
  <c r="R23" i="62"/>
  <c r="R22" i="62"/>
  <c r="I22" i="112" s="1"/>
  <c r="R21" i="62"/>
  <c r="R20" i="62"/>
  <c r="R19" i="62"/>
  <c r="R18" i="62"/>
  <c r="R17" i="62"/>
  <c r="R16" i="62"/>
  <c r="R15" i="62"/>
  <c r="R14" i="62"/>
  <c r="R13" i="62"/>
  <c r="R12" i="62"/>
  <c r="R11" i="62"/>
  <c r="R10" i="62"/>
  <c r="R9" i="62"/>
  <c r="R8" i="62"/>
  <c r="N32" i="62"/>
  <c r="N31" i="62"/>
  <c r="I31" i="112" s="1"/>
  <c r="N30" i="62"/>
  <c r="N29" i="62"/>
  <c r="N28" i="62"/>
  <c r="N27" i="62"/>
  <c r="N26" i="62"/>
  <c r="N25" i="62"/>
  <c r="N24" i="62"/>
  <c r="N23" i="62"/>
  <c r="I23" i="112" s="1"/>
  <c r="N22" i="62"/>
  <c r="N21" i="62"/>
  <c r="N20" i="62"/>
  <c r="N19" i="62"/>
  <c r="N18" i="62"/>
  <c r="N17" i="62"/>
  <c r="N16" i="62"/>
  <c r="N15" i="62"/>
  <c r="N35" i="62" s="1"/>
  <c r="N14" i="62"/>
  <c r="N13" i="62"/>
  <c r="N12" i="62"/>
  <c r="N11" i="62"/>
  <c r="N10" i="62"/>
  <c r="N9" i="62"/>
  <c r="N8" i="62"/>
  <c r="Q32" i="2"/>
  <c r="I32" i="112" s="1"/>
  <c r="P32" i="2"/>
  <c r="Q31" i="2"/>
  <c r="P31" i="2"/>
  <c r="Q30" i="2"/>
  <c r="P30" i="2"/>
  <c r="Q29" i="2"/>
  <c r="P29" i="2"/>
  <c r="Q28" i="2"/>
  <c r="I28" i="112" s="1"/>
  <c r="P28" i="2"/>
  <c r="Q27" i="2"/>
  <c r="P27" i="2"/>
  <c r="Q26" i="2"/>
  <c r="P26" i="2"/>
  <c r="Q25" i="2"/>
  <c r="P25" i="2"/>
  <c r="Q24" i="2"/>
  <c r="I24" i="112" s="1"/>
  <c r="P24" i="2"/>
  <c r="Q23" i="2"/>
  <c r="P23" i="2"/>
  <c r="Q22" i="2"/>
  <c r="P22" i="2"/>
  <c r="Q21" i="2"/>
  <c r="P21" i="2"/>
  <c r="Q20" i="2"/>
  <c r="I20" i="112" s="1"/>
  <c r="P20" i="2"/>
  <c r="Q19" i="2"/>
  <c r="P19" i="2"/>
  <c r="Q18" i="2"/>
  <c r="P18" i="2"/>
  <c r="Q17" i="2"/>
  <c r="P17" i="2"/>
  <c r="Q16" i="2"/>
  <c r="I16" i="112" s="1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I32" i="24"/>
  <c r="I31" i="24"/>
  <c r="I30" i="24"/>
  <c r="I29" i="24"/>
  <c r="I28" i="24"/>
  <c r="I27" i="24"/>
  <c r="I26" i="24"/>
  <c r="I26" i="113" s="1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32" i="23"/>
  <c r="I31" i="23"/>
  <c r="I30" i="23"/>
  <c r="I29" i="23"/>
  <c r="I28" i="23"/>
  <c r="I27" i="23"/>
  <c r="I27" i="112" s="1"/>
  <c r="I26" i="23"/>
  <c r="I25" i="23"/>
  <c r="I24" i="23"/>
  <c r="I23" i="23"/>
  <c r="I22" i="23"/>
  <c r="I21" i="23"/>
  <c r="I20" i="23"/>
  <c r="I19" i="23"/>
  <c r="I19" i="112" s="1"/>
  <c r="I18" i="23"/>
  <c r="I17" i="23"/>
  <c r="I16" i="23"/>
  <c r="I15" i="23"/>
  <c r="I14" i="23"/>
  <c r="I13" i="23"/>
  <c r="I12" i="23"/>
  <c r="I11" i="23"/>
  <c r="I35" i="23" s="1"/>
  <c r="I10" i="23"/>
  <c r="I9" i="23"/>
  <c r="I8" i="23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1" i="92"/>
  <c r="F10" i="92"/>
  <c r="F9" i="92"/>
  <c r="F8" i="92"/>
  <c r="E32" i="91"/>
  <c r="E31" i="91"/>
  <c r="R31" i="91" s="1"/>
  <c r="E30" i="91"/>
  <c r="E29" i="91"/>
  <c r="E28" i="91"/>
  <c r="E27" i="91"/>
  <c r="E26" i="91"/>
  <c r="E25" i="91"/>
  <c r="E24" i="91"/>
  <c r="E23" i="91"/>
  <c r="R23" i="91" s="1"/>
  <c r="E22" i="91"/>
  <c r="E21" i="91"/>
  <c r="E20" i="91"/>
  <c r="E19" i="91"/>
  <c r="E18" i="91"/>
  <c r="E17" i="91"/>
  <c r="E16" i="91"/>
  <c r="E15" i="91"/>
  <c r="R15" i="91" s="1"/>
  <c r="E14" i="91"/>
  <c r="E13" i="91"/>
  <c r="E13" i="112" s="1"/>
  <c r="E12" i="91"/>
  <c r="E11" i="91"/>
  <c r="E10" i="91"/>
  <c r="E9" i="91"/>
  <c r="E8" i="91"/>
  <c r="G32" i="63"/>
  <c r="AC32" i="63" s="1"/>
  <c r="G31" i="63"/>
  <c r="G30" i="63"/>
  <c r="G29" i="63"/>
  <c r="G28" i="63"/>
  <c r="G27" i="63"/>
  <c r="G26" i="63"/>
  <c r="G25" i="63"/>
  <c r="G24" i="63"/>
  <c r="AC24" i="63" s="1"/>
  <c r="G23" i="63"/>
  <c r="G22" i="63"/>
  <c r="G21" i="63"/>
  <c r="G20" i="63"/>
  <c r="G19" i="63"/>
  <c r="G18" i="63"/>
  <c r="G17" i="63"/>
  <c r="G16" i="63"/>
  <c r="D16" i="113" s="1"/>
  <c r="M16" i="113" s="1"/>
  <c r="G15" i="63"/>
  <c r="G14" i="63"/>
  <c r="G13" i="63"/>
  <c r="G12" i="63"/>
  <c r="G11" i="63"/>
  <c r="G10" i="63"/>
  <c r="G9" i="63"/>
  <c r="G8" i="63"/>
  <c r="AC8" i="63" s="1"/>
  <c r="G32" i="62"/>
  <c r="G31" i="62"/>
  <c r="G30" i="62"/>
  <c r="G29" i="62"/>
  <c r="G28" i="62"/>
  <c r="G27" i="62"/>
  <c r="G26" i="62"/>
  <c r="G25" i="62"/>
  <c r="E25" i="112" s="1"/>
  <c r="G24" i="62"/>
  <c r="G23" i="62"/>
  <c r="AB23" i="62" s="1"/>
  <c r="G22" i="62"/>
  <c r="G21" i="62"/>
  <c r="G20" i="62"/>
  <c r="G19" i="62"/>
  <c r="G18" i="62"/>
  <c r="G17" i="62"/>
  <c r="AB17" i="62" s="1"/>
  <c r="G16" i="62"/>
  <c r="G15" i="62"/>
  <c r="E15" i="112" s="1"/>
  <c r="G15" i="112" s="1"/>
  <c r="G14" i="62"/>
  <c r="G13" i="62"/>
  <c r="G12" i="62"/>
  <c r="G11" i="62"/>
  <c r="G10" i="62"/>
  <c r="G9" i="62"/>
  <c r="E9" i="112" s="1"/>
  <c r="G8" i="6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35" i="2" s="1"/>
  <c r="D32" i="24"/>
  <c r="D31" i="24"/>
  <c r="D30" i="24"/>
  <c r="D29" i="24"/>
  <c r="D28" i="24"/>
  <c r="D27" i="24"/>
  <c r="L27" i="24" s="1"/>
  <c r="D26" i="24"/>
  <c r="D25" i="24"/>
  <c r="D24" i="24"/>
  <c r="D23" i="24"/>
  <c r="D22" i="24"/>
  <c r="D21" i="24"/>
  <c r="D20" i="24"/>
  <c r="D19" i="24"/>
  <c r="D19" i="113" s="1"/>
  <c r="M19" i="113" s="1"/>
  <c r="D18" i="24"/>
  <c r="D17" i="24"/>
  <c r="D16" i="24"/>
  <c r="D15" i="24"/>
  <c r="D14" i="24"/>
  <c r="D13" i="24"/>
  <c r="D12" i="24"/>
  <c r="D11" i="24"/>
  <c r="L11" i="24" s="1"/>
  <c r="D10" i="24"/>
  <c r="D9" i="24"/>
  <c r="L9" i="24" s="1"/>
  <c r="P9" i="24" s="1"/>
  <c r="D8" i="24"/>
  <c r="E32" i="23"/>
  <c r="E31" i="23"/>
  <c r="E30" i="23"/>
  <c r="E29" i="23"/>
  <c r="E28" i="23"/>
  <c r="E28" i="112" s="1"/>
  <c r="E27" i="23"/>
  <c r="E26" i="23"/>
  <c r="G26" i="23" s="1"/>
  <c r="E25" i="23"/>
  <c r="E24" i="23"/>
  <c r="E23" i="23"/>
  <c r="E22" i="23"/>
  <c r="E21" i="23"/>
  <c r="E20" i="23"/>
  <c r="E20" i="112" s="1"/>
  <c r="E19" i="23"/>
  <c r="E18" i="23"/>
  <c r="L18" i="23" s="1"/>
  <c r="E17" i="23"/>
  <c r="E16" i="23"/>
  <c r="E15" i="23"/>
  <c r="E14" i="23"/>
  <c r="E13" i="23"/>
  <c r="E12" i="23"/>
  <c r="E11" i="23"/>
  <c r="E10" i="23"/>
  <c r="G10" i="23" s="1"/>
  <c r="E9" i="23"/>
  <c r="E8" i="23"/>
  <c r="E32" i="92"/>
  <c r="E31" i="92"/>
  <c r="E30" i="92"/>
  <c r="E29" i="92"/>
  <c r="E28" i="92"/>
  <c r="E27" i="92"/>
  <c r="I27" i="92" s="1"/>
  <c r="AA27" i="92" s="1"/>
  <c r="E26" i="92"/>
  <c r="E25" i="92"/>
  <c r="E24" i="92"/>
  <c r="E23" i="92"/>
  <c r="E22" i="92"/>
  <c r="E21" i="92"/>
  <c r="E20" i="92"/>
  <c r="E19" i="92"/>
  <c r="I19" i="92" s="1"/>
  <c r="E18" i="92"/>
  <c r="E17" i="92"/>
  <c r="E16" i="92"/>
  <c r="E15" i="92"/>
  <c r="E14" i="92"/>
  <c r="E13" i="92"/>
  <c r="E12" i="92"/>
  <c r="E11" i="92"/>
  <c r="E10" i="92"/>
  <c r="E9" i="92"/>
  <c r="E8" i="92"/>
  <c r="G32" i="91"/>
  <c r="G31" i="91"/>
  <c r="G30" i="91"/>
  <c r="G29" i="91"/>
  <c r="G28" i="91"/>
  <c r="G27" i="91"/>
  <c r="G26" i="91"/>
  <c r="G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12" i="91"/>
  <c r="G35" i="91" s="1"/>
  <c r="B41" i="91" s="1"/>
  <c r="G11" i="91"/>
  <c r="G10" i="91"/>
  <c r="G9" i="91"/>
  <c r="G8" i="91"/>
  <c r="F32" i="63"/>
  <c r="F31" i="63"/>
  <c r="F30" i="63"/>
  <c r="F29" i="63"/>
  <c r="J29" i="63" s="1"/>
  <c r="L29" i="63" s="1"/>
  <c r="F28" i="63"/>
  <c r="F27" i="63"/>
  <c r="F26" i="63"/>
  <c r="F25" i="63"/>
  <c r="F24" i="63"/>
  <c r="F23" i="63"/>
  <c r="F22" i="63"/>
  <c r="F21" i="63"/>
  <c r="J21" i="63" s="1"/>
  <c r="L21" i="63" s="1"/>
  <c r="F20" i="63"/>
  <c r="F19" i="63"/>
  <c r="F18" i="63"/>
  <c r="F17" i="63"/>
  <c r="F16" i="63"/>
  <c r="F15" i="63"/>
  <c r="F14" i="63"/>
  <c r="F13" i="63"/>
  <c r="F35" i="63" s="1"/>
  <c r="B42" i="63" s="1"/>
  <c r="F12" i="63"/>
  <c r="F11" i="63"/>
  <c r="F10" i="63"/>
  <c r="F9" i="63"/>
  <c r="F8" i="63"/>
  <c r="H32" i="62"/>
  <c r="H31" i="62"/>
  <c r="H30" i="62"/>
  <c r="H29" i="62"/>
  <c r="H28" i="62"/>
  <c r="H27" i="62"/>
  <c r="H26" i="62"/>
  <c r="H25" i="62"/>
  <c r="H24" i="62"/>
  <c r="H23" i="62"/>
  <c r="H22" i="62"/>
  <c r="D22" i="112" s="1"/>
  <c r="G22" i="112" s="1"/>
  <c r="H21" i="62"/>
  <c r="H20" i="62"/>
  <c r="H19" i="62"/>
  <c r="H18" i="62"/>
  <c r="H17" i="62"/>
  <c r="H16" i="62"/>
  <c r="H15" i="62"/>
  <c r="H14" i="62"/>
  <c r="H35" i="62" s="1"/>
  <c r="B42" i="62" s="1"/>
  <c r="H13" i="62"/>
  <c r="H12" i="62"/>
  <c r="H11" i="62"/>
  <c r="H10" i="62"/>
  <c r="H9" i="62"/>
  <c r="H8" i="62"/>
  <c r="G32" i="3"/>
  <c r="F32" i="3"/>
  <c r="C32" i="113" s="1"/>
  <c r="G31" i="3"/>
  <c r="F31" i="3"/>
  <c r="G30" i="3"/>
  <c r="F30" i="3"/>
  <c r="G29" i="3"/>
  <c r="F29" i="3"/>
  <c r="G28" i="3"/>
  <c r="F28" i="3"/>
  <c r="C28" i="113" s="1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C20" i="113" s="1"/>
  <c r="G19" i="3"/>
  <c r="F19" i="3"/>
  <c r="G18" i="3"/>
  <c r="F18" i="3"/>
  <c r="G17" i="3"/>
  <c r="F17" i="3"/>
  <c r="G16" i="3"/>
  <c r="F16" i="3"/>
  <c r="C16" i="113" s="1"/>
  <c r="G16" i="113" s="1"/>
  <c r="G15" i="3"/>
  <c r="F15" i="3"/>
  <c r="G14" i="3"/>
  <c r="F14" i="3"/>
  <c r="G13" i="3"/>
  <c r="F13" i="3"/>
  <c r="G12" i="3"/>
  <c r="F12" i="3"/>
  <c r="C12" i="113" s="1"/>
  <c r="G11" i="3"/>
  <c r="F11" i="3"/>
  <c r="G10" i="3"/>
  <c r="F10" i="3"/>
  <c r="G9" i="3"/>
  <c r="F9" i="3"/>
  <c r="G8" i="3"/>
  <c r="F8" i="3"/>
  <c r="J8" i="3" s="1"/>
  <c r="H32" i="2"/>
  <c r="G32" i="2"/>
  <c r="H31" i="2"/>
  <c r="G31" i="2"/>
  <c r="H30" i="2"/>
  <c r="G30" i="2"/>
  <c r="H29" i="2"/>
  <c r="G29" i="2"/>
  <c r="D29" i="112" s="1"/>
  <c r="H28" i="2"/>
  <c r="G28" i="2"/>
  <c r="H27" i="2"/>
  <c r="G27" i="2"/>
  <c r="H26" i="2"/>
  <c r="G26" i="2"/>
  <c r="H25" i="2"/>
  <c r="G25" i="2"/>
  <c r="D25" i="112" s="1"/>
  <c r="H24" i="2"/>
  <c r="G24" i="2"/>
  <c r="H23" i="2"/>
  <c r="G23" i="2"/>
  <c r="H22" i="2"/>
  <c r="G22" i="2"/>
  <c r="H21" i="2"/>
  <c r="G21" i="2"/>
  <c r="D21" i="112" s="1"/>
  <c r="H20" i="2"/>
  <c r="G20" i="2"/>
  <c r="H19" i="2"/>
  <c r="G19" i="2"/>
  <c r="H18" i="2"/>
  <c r="G18" i="2"/>
  <c r="D18" i="112" s="1"/>
  <c r="H17" i="2"/>
  <c r="G17" i="2"/>
  <c r="D17" i="112" s="1"/>
  <c r="G17" i="112" s="1"/>
  <c r="H16" i="2"/>
  <c r="G16" i="2"/>
  <c r="H15" i="2"/>
  <c r="G15" i="2"/>
  <c r="H14" i="2"/>
  <c r="G14" i="2"/>
  <c r="H13" i="2"/>
  <c r="G13" i="2"/>
  <c r="D13" i="112" s="1"/>
  <c r="H12" i="2"/>
  <c r="G12" i="2"/>
  <c r="H11" i="2"/>
  <c r="G11" i="2"/>
  <c r="H10" i="2"/>
  <c r="G10" i="2"/>
  <c r="D10" i="112" s="1"/>
  <c r="H9" i="2"/>
  <c r="G9" i="2"/>
  <c r="J9" i="2" s="1"/>
  <c r="H8" i="2"/>
  <c r="G8" i="2"/>
  <c r="C32" i="24"/>
  <c r="C31" i="24"/>
  <c r="C30" i="24"/>
  <c r="C29" i="24"/>
  <c r="C29" i="113" s="1"/>
  <c r="C28" i="24"/>
  <c r="C27" i="24"/>
  <c r="C26" i="24"/>
  <c r="C25" i="24"/>
  <c r="C24" i="24"/>
  <c r="C23" i="24"/>
  <c r="C22" i="24"/>
  <c r="C21" i="24"/>
  <c r="C21" i="113" s="1"/>
  <c r="C20" i="24"/>
  <c r="C19" i="24"/>
  <c r="G19" i="24" s="1"/>
  <c r="C18" i="24"/>
  <c r="C17" i="24"/>
  <c r="C16" i="24"/>
  <c r="C15" i="24"/>
  <c r="C14" i="24"/>
  <c r="C13" i="24"/>
  <c r="C13" i="113" s="1"/>
  <c r="C12" i="24"/>
  <c r="C11" i="24"/>
  <c r="C11" i="113" s="1"/>
  <c r="C10" i="24"/>
  <c r="C9" i="24"/>
  <c r="C8" i="24"/>
  <c r="D32" i="23"/>
  <c r="D31" i="23"/>
  <c r="D30" i="23"/>
  <c r="D29" i="23"/>
  <c r="D28" i="23"/>
  <c r="D28" i="112" s="1"/>
  <c r="D27" i="23"/>
  <c r="D26" i="23"/>
  <c r="D25" i="23"/>
  <c r="D24" i="23"/>
  <c r="D23" i="23"/>
  <c r="D22" i="23"/>
  <c r="D21" i="23"/>
  <c r="D20" i="23"/>
  <c r="D20" i="112" s="1"/>
  <c r="G20" i="112" s="1"/>
  <c r="D19" i="23"/>
  <c r="D18" i="23"/>
  <c r="D17" i="23"/>
  <c r="D16" i="23"/>
  <c r="D15" i="23"/>
  <c r="D14" i="23"/>
  <c r="D13" i="23"/>
  <c r="D12" i="23"/>
  <c r="G12" i="23" s="1"/>
  <c r="D11" i="23"/>
  <c r="D10" i="23"/>
  <c r="D9" i="23"/>
  <c r="D8" i="23"/>
  <c r="N32" i="83"/>
  <c r="N31" i="83"/>
  <c r="N30" i="83"/>
  <c r="N29" i="83"/>
  <c r="N28" i="83"/>
  <c r="N27" i="83"/>
  <c r="N26" i="83"/>
  <c r="N25" i="83"/>
  <c r="N24" i="83"/>
  <c r="N23" i="83"/>
  <c r="N22" i="83"/>
  <c r="N21" i="83"/>
  <c r="N20" i="83"/>
  <c r="N19" i="83"/>
  <c r="N18" i="83"/>
  <c r="N17" i="83"/>
  <c r="N16" i="83"/>
  <c r="N15" i="83"/>
  <c r="N14" i="83"/>
  <c r="N13" i="83"/>
  <c r="N12" i="83"/>
  <c r="N11" i="83"/>
  <c r="N10" i="83"/>
  <c r="N9" i="83"/>
  <c r="N8" i="83"/>
  <c r="N32" i="82"/>
  <c r="N31" i="82"/>
  <c r="N30" i="82"/>
  <c r="N30" i="112" s="1"/>
  <c r="N29" i="82"/>
  <c r="N28" i="82"/>
  <c r="N27" i="82"/>
  <c r="N26" i="82"/>
  <c r="N25" i="82"/>
  <c r="N24" i="82"/>
  <c r="N23" i="82"/>
  <c r="N22" i="82"/>
  <c r="N22" i="112" s="1"/>
  <c r="N21" i="82"/>
  <c r="N20" i="82"/>
  <c r="N19" i="82"/>
  <c r="N18" i="82"/>
  <c r="N17" i="82"/>
  <c r="N16" i="82"/>
  <c r="N15" i="82"/>
  <c r="N14" i="82"/>
  <c r="N14" i="112" s="1"/>
  <c r="N13" i="82"/>
  <c r="N12" i="82"/>
  <c r="N11" i="82"/>
  <c r="N10" i="82"/>
  <c r="N9" i="82"/>
  <c r="N8" i="82"/>
  <c r="N32" i="73"/>
  <c r="N31" i="73"/>
  <c r="N31" i="113" s="1"/>
  <c r="N30" i="73"/>
  <c r="N29" i="73"/>
  <c r="N28" i="73"/>
  <c r="N27" i="73"/>
  <c r="N26" i="73"/>
  <c r="N25" i="73"/>
  <c r="N24" i="73"/>
  <c r="N23" i="73"/>
  <c r="N23" i="113" s="1"/>
  <c r="R23" i="113" s="1"/>
  <c r="N22" i="73"/>
  <c r="N21" i="73"/>
  <c r="N20" i="73"/>
  <c r="N19" i="73"/>
  <c r="N18" i="73"/>
  <c r="N17" i="73"/>
  <c r="N16" i="73"/>
  <c r="N15" i="73"/>
  <c r="N15" i="113" s="1"/>
  <c r="R15" i="113" s="1"/>
  <c r="N14" i="73"/>
  <c r="N13" i="73"/>
  <c r="N12" i="73"/>
  <c r="N11" i="73"/>
  <c r="N10" i="73"/>
  <c r="N9" i="73"/>
  <c r="N8" i="73"/>
  <c r="N32" i="72"/>
  <c r="N32" i="112" s="1"/>
  <c r="N31" i="72"/>
  <c r="N30" i="72"/>
  <c r="N29" i="72"/>
  <c r="N28" i="72"/>
  <c r="N27" i="72"/>
  <c r="N26" i="72"/>
  <c r="N25" i="72"/>
  <c r="N24" i="72"/>
  <c r="N24" i="112" s="1"/>
  <c r="N23" i="72"/>
  <c r="N22" i="72"/>
  <c r="N21" i="72"/>
  <c r="N20" i="72"/>
  <c r="N19" i="72"/>
  <c r="N18" i="72"/>
  <c r="N17" i="72"/>
  <c r="N16" i="72"/>
  <c r="N16" i="112" s="1"/>
  <c r="N15" i="72"/>
  <c r="N14" i="72"/>
  <c r="N13" i="72"/>
  <c r="N12" i="72"/>
  <c r="N11" i="72"/>
  <c r="N10" i="72"/>
  <c r="N9" i="72"/>
  <c r="N8" i="72"/>
  <c r="W32" i="63"/>
  <c r="W31" i="63"/>
  <c r="W30" i="63"/>
  <c r="W29" i="63"/>
  <c r="W28" i="63"/>
  <c r="W27" i="63"/>
  <c r="W26" i="63"/>
  <c r="W25" i="63"/>
  <c r="W24" i="63"/>
  <c r="W23" i="63"/>
  <c r="W22" i="63"/>
  <c r="W21" i="63"/>
  <c r="W20" i="63"/>
  <c r="W19" i="63"/>
  <c r="W18" i="63"/>
  <c r="W17" i="63"/>
  <c r="N17" i="113" s="1"/>
  <c r="W16" i="63"/>
  <c r="W15" i="63"/>
  <c r="W14" i="63"/>
  <c r="W13" i="63"/>
  <c r="W12" i="63"/>
  <c r="W11" i="63"/>
  <c r="W10" i="63"/>
  <c r="W9" i="63"/>
  <c r="W35" i="63" s="1"/>
  <c r="W8" i="63"/>
  <c r="W32" i="62"/>
  <c r="W31" i="62"/>
  <c r="W30" i="62"/>
  <c r="W29" i="62"/>
  <c r="W28" i="62"/>
  <c r="W27" i="62"/>
  <c r="W26" i="62"/>
  <c r="N26" i="112" s="1"/>
  <c r="Q26" i="112" s="1"/>
  <c r="W25" i="62"/>
  <c r="W24" i="62"/>
  <c r="W23" i="62"/>
  <c r="W22" i="62"/>
  <c r="W21" i="62"/>
  <c r="W20" i="62"/>
  <c r="N20" i="112" s="1"/>
  <c r="W19" i="62"/>
  <c r="W18" i="62"/>
  <c r="W17" i="62"/>
  <c r="W16" i="62"/>
  <c r="W15" i="62"/>
  <c r="W14" i="62"/>
  <c r="W13" i="62"/>
  <c r="W12" i="62"/>
  <c r="N12" i="112" s="1"/>
  <c r="W11" i="62"/>
  <c r="W10" i="62"/>
  <c r="W9" i="62"/>
  <c r="W8" i="62"/>
  <c r="X30" i="3"/>
  <c r="X22" i="3"/>
  <c r="X10" i="3"/>
  <c r="X29" i="3"/>
  <c r="X25" i="3"/>
  <c r="X21" i="3"/>
  <c r="AF21" i="63" s="1"/>
  <c r="AD21" i="63" s="1"/>
  <c r="X17" i="3"/>
  <c r="X13" i="3"/>
  <c r="X9" i="3"/>
  <c r="X14" i="3"/>
  <c r="X32" i="3"/>
  <c r="X28" i="3"/>
  <c r="X24" i="3"/>
  <c r="X20" i="3"/>
  <c r="X12" i="3"/>
  <c r="X18" i="3"/>
  <c r="X31" i="3"/>
  <c r="X27" i="3"/>
  <c r="X23" i="3"/>
  <c r="X19" i="3"/>
  <c r="AF19" i="63" s="1"/>
  <c r="AD19" i="63" s="1"/>
  <c r="X15" i="3"/>
  <c r="X11" i="3"/>
  <c r="X8" i="3"/>
  <c r="AC9" i="63"/>
  <c r="AC10" i="63"/>
  <c r="AC11" i="63"/>
  <c r="AC12" i="63"/>
  <c r="AC13" i="63"/>
  <c r="AC15" i="63"/>
  <c r="AC17" i="63"/>
  <c r="AC18" i="63"/>
  <c r="AC19" i="63"/>
  <c r="AC20" i="63"/>
  <c r="AC21" i="63"/>
  <c r="AC23" i="63"/>
  <c r="AC25" i="63"/>
  <c r="AC26" i="63"/>
  <c r="AC27" i="63"/>
  <c r="AC28" i="63"/>
  <c r="AC29" i="63"/>
  <c r="AC31" i="63"/>
  <c r="AB10" i="62"/>
  <c r="AB11" i="62"/>
  <c r="AB12" i="62"/>
  <c r="AB13" i="62"/>
  <c r="AB14" i="62"/>
  <c r="AB16" i="62"/>
  <c r="AB18" i="62"/>
  <c r="AB19" i="62"/>
  <c r="AB20" i="62"/>
  <c r="AB21" i="62"/>
  <c r="AB22" i="62"/>
  <c r="AB24" i="62"/>
  <c r="AB26" i="62"/>
  <c r="AB27" i="62"/>
  <c r="AB28" i="62"/>
  <c r="AB29" i="62"/>
  <c r="AB30" i="62"/>
  <c r="AB32" i="62"/>
  <c r="AB8" i="62"/>
  <c r="R9" i="91"/>
  <c r="R10" i="91"/>
  <c r="R11" i="91"/>
  <c r="R12" i="91"/>
  <c r="R14" i="91"/>
  <c r="R16" i="91"/>
  <c r="R17" i="91"/>
  <c r="R18" i="91"/>
  <c r="R19" i="91"/>
  <c r="M19" i="112" s="1"/>
  <c r="R20" i="91"/>
  <c r="R22" i="91"/>
  <c r="R24" i="91"/>
  <c r="R25" i="91"/>
  <c r="R26" i="91"/>
  <c r="R27" i="91"/>
  <c r="R28" i="91"/>
  <c r="R30" i="91"/>
  <c r="R32" i="91"/>
  <c r="R8" i="91"/>
  <c r="X9" i="2"/>
  <c r="X10" i="2"/>
  <c r="X11" i="2"/>
  <c r="X12" i="2"/>
  <c r="X13" i="2"/>
  <c r="X14" i="2"/>
  <c r="X15" i="2"/>
  <c r="X17" i="2"/>
  <c r="X18" i="2"/>
  <c r="X19" i="2"/>
  <c r="X20" i="2"/>
  <c r="X21" i="2"/>
  <c r="X22" i="2"/>
  <c r="X23" i="2"/>
  <c r="X25" i="2"/>
  <c r="X26" i="2"/>
  <c r="X27" i="2"/>
  <c r="X28" i="2"/>
  <c r="X29" i="2"/>
  <c r="X30" i="2"/>
  <c r="X31" i="2"/>
  <c r="L10" i="24"/>
  <c r="L12" i="24"/>
  <c r="L14" i="24"/>
  <c r="L15" i="24"/>
  <c r="L16" i="24"/>
  <c r="L18" i="24"/>
  <c r="L20" i="24"/>
  <c r="L22" i="24"/>
  <c r="L23" i="24"/>
  <c r="L24" i="24"/>
  <c r="L26" i="24"/>
  <c r="L28" i="24"/>
  <c r="L30" i="24"/>
  <c r="L31" i="24"/>
  <c r="L32" i="24"/>
  <c r="L8" i="24"/>
  <c r="D27" i="113"/>
  <c r="E18" i="112"/>
  <c r="G18" i="112" s="1"/>
  <c r="D21" i="113"/>
  <c r="E12" i="112"/>
  <c r="D18" i="113"/>
  <c r="D15" i="113"/>
  <c r="D31" i="113"/>
  <c r="E22" i="112"/>
  <c r="D32" i="113"/>
  <c r="M32" i="113" s="1"/>
  <c r="E27" i="112"/>
  <c r="E11" i="112"/>
  <c r="E19" i="112"/>
  <c r="D13" i="113"/>
  <c r="M13" i="113" s="1"/>
  <c r="D29" i="113"/>
  <c r="D10" i="113"/>
  <c r="D26" i="113"/>
  <c r="E17" i="112"/>
  <c r="D23" i="113"/>
  <c r="E14" i="112"/>
  <c r="E30" i="112"/>
  <c r="J24" i="112"/>
  <c r="J20" i="112"/>
  <c r="J16" i="112"/>
  <c r="J12" i="112"/>
  <c r="J23" i="113"/>
  <c r="J19" i="113"/>
  <c r="J15" i="113"/>
  <c r="J11" i="113"/>
  <c r="J15" i="112"/>
  <c r="J22" i="113"/>
  <c r="J10" i="113"/>
  <c r="J11" i="112"/>
  <c r="J18" i="113"/>
  <c r="L35" i="83"/>
  <c r="J8" i="112"/>
  <c r="J22" i="112"/>
  <c r="J18" i="112"/>
  <c r="J14" i="112"/>
  <c r="J10" i="112"/>
  <c r="J35" i="112" s="1"/>
  <c r="E41" i="112" s="1"/>
  <c r="H41" i="112" s="1"/>
  <c r="J21" i="113"/>
  <c r="J17" i="113"/>
  <c r="J13" i="113"/>
  <c r="J9" i="113"/>
  <c r="J23" i="112"/>
  <c r="J19" i="112"/>
  <c r="J14" i="113"/>
  <c r="J25" i="112"/>
  <c r="J21" i="112"/>
  <c r="J17" i="112"/>
  <c r="J13" i="112"/>
  <c r="J9" i="112"/>
  <c r="J8" i="113"/>
  <c r="J35" i="113" s="1"/>
  <c r="E42" i="113" s="1"/>
  <c r="H42" i="113" s="1"/>
  <c r="J24" i="113"/>
  <c r="J20" i="113"/>
  <c r="J16" i="113"/>
  <c r="J12" i="113"/>
  <c r="J26" i="112"/>
  <c r="R35" i="2"/>
  <c r="L35" i="72"/>
  <c r="J25" i="113"/>
  <c r="R19" i="92"/>
  <c r="R31" i="92"/>
  <c r="R15" i="92"/>
  <c r="R23" i="92"/>
  <c r="R27" i="92"/>
  <c r="R11" i="92"/>
  <c r="Z35" i="63"/>
  <c r="S35" i="63"/>
  <c r="U35" i="63"/>
  <c r="R25" i="92"/>
  <c r="R13" i="92"/>
  <c r="R29" i="92"/>
  <c r="R32" i="92"/>
  <c r="R30" i="92"/>
  <c r="R26" i="92"/>
  <c r="R24" i="92"/>
  <c r="R22" i="92"/>
  <c r="R18" i="92"/>
  <c r="R16" i="92"/>
  <c r="R14" i="92"/>
  <c r="R10" i="92"/>
  <c r="R21" i="92"/>
  <c r="R17" i="92"/>
  <c r="R9" i="92"/>
  <c r="R8" i="92"/>
  <c r="M35" i="91"/>
  <c r="E41" i="91" s="1"/>
  <c r="L13" i="24"/>
  <c r="L29" i="24"/>
  <c r="L21" i="24"/>
  <c r="E44" i="83"/>
  <c r="H44" i="83" s="1"/>
  <c r="L35" i="73"/>
  <c r="E42" i="73" s="1"/>
  <c r="H42" i="73" s="1"/>
  <c r="L34" i="82"/>
  <c r="E42" i="72"/>
  <c r="H42" i="72" s="1"/>
  <c r="E41" i="2"/>
  <c r="J26" i="113"/>
  <c r="L35" i="92"/>
  <c r="E41" i="92" s="1"/>
  <c r="J27" i="112"/>
  <c r="E45" i="82"/>
  <c r="H45" i="82"/>
  <c r="J27" i="113"/>
  <c r="J28" i="112"/>
  <c r="J28" i="113"/>
  <c r="J29" i="112"/>
  <c r="J29" i="113"/>
  <c r="J30" i="112"/>
  <c r="J30" i="113"/>
  <c r="J31" i="112"/>
  <c r="O35" i="63"/>
  <c r="J31" i="113"/>
  <c r="J32" i="113"/>
  <c r="J32" i="112"/>
  <c r="O35" i="62"/>
  <c r="E42" i="62" s="1"/>
  <c r="E42" i="63"/>
  <c r="H42" i="63" s="1"/>
  <c r="R35" i="3"/>
  <c r="E42" i="3" s="1"/>
  <c r="H42" i="62"/>
  <c r="C9" i="113"/>
  <c r="C10" i="113"/>
  <c r="C14" i="113"/>
  <c r="C15" i="113"/>
  <c r="C17" i="113"/>
  <c r="C18" i="113"/>
  <c r="C19" i="113"/>
  <c r="G19" i="113" s="1"/>
  <c r="C22" i="113"/>
  <c r="C23" i="113"/>
  <c r="C25" i="113"/>
  <c r="C30" i="113"/>
  <c r="C31" i="113"/>
  <c r="D11" i="112"/>
  <c r="D15" i="112"/>
  <c r="D16" i="112"/>
  <c r="D19" i="112"/>
  <c r="D23" i="112"/>
  <c r="D24" i="112"/>
  <c r="D27" i="112"/>
  <c r="D31" i="112"/>
  <c r="D8" i="112"/>
  <c r="D26" i="112"/>
  <c r="C26" i="113"/>
  <c r="D32" i="112"/>
  <c r="G35" i="3"/>
  <c r="H35" i="2"/>
  <c r="E35" i="3"/>
  <c r="E43" i="3" s="1"/>
  <c r="D35" i="63"/>
  <c r="Q35" i="92"/>
  <c r="Q35" i="91"/>
  <c r="B35" i="63"/>
  <c r="B35" i="62"/>
  <c r="N31" i="112"/>
  <c r="N29" i="112"/>
  <c r="N27" i="112"/>
  <c r="N25" i="112"/>
  <c r="N23" i="112"/>
  <c r="N21" i="112"/>
  <c r="N19" i="112"/>
  <c r="N17" i="112"/>
  <c r="N15" i="112"/>
  <c r="N11" i="112"/>
  <c r="N9" i="112"/>
  <c r="N13" i="112"/>
  <c r="N28" i="112"/>
  <c r="I31" i="113"/>
  <c r="I30" i="113"/>
  <c r="I29" i="113"/>
  <c r="I25" i="113"/>
  <c r="I23" i="113"/>
  <c r="I22" i="113"/>
  <c r="I21" i="113"/>
  <c r="I18" i="113"/>
  <c r="I15" i="113"/>
  <c r="I14" i="113"/>
  <c r="I9" i="113"/>
  <c r="I13" i="113"/>
  <c r="I17" i="113"/>
  <c r="P35" i="2"/>
  <c r="W35" i="2"/>
  <c r="E43" i="2" s="1"/>
  <c r="H43" i="2" s="1"/>
  <c r="C35" i="92"/>
  <c r="E43" i="91"/>
  <c r="E54" i="91" s="1"/>
  <c r="H54" i="91" s="1"/>
  <c r="E43" i="92"/>
  <c r="E54" i="92"/>
  <c r="H54" i="92"/>
  <c r="W35" i="3"/>
  <c r="E44" i="3" s="1"/>
  <c r="H43" i="91"/>
  <c r="H43" i="92"/>
  <c r="L8" i="112"/>
  <c r="L9" i="112"/>
  <c r="L10" i="112"/>
  <c r="L11" i="112"/>
  <c r="L13" i="112"/>
  <c r="L14" i="112"/>
  <c r="L15" i="112"/>
  <c r="L16" i="112"/>
  <c r="L17" i="112"/>
  <c r="L18" i="112"/>
  <c r="L19" i="112"/>
  <c r="L20" i="112"/>
  <c r="L21" i="112"/>
  <c r="L22" i="112"/>
  <c r="L24" i="112"/>
  <c r="L25" i="112"/>
  <c r="L27" i="112"/>
  <c r="L28" i="112"/>
  <c r="L30" i="112"/>
  <c r="L31" i="112"/>
  <c r="L32" i="112"/>
  <c r="L14" i="23"/>
  <c r="M14" i="112" s="1"/>
  <c r="L22" i="23"/>
  <c r="M22" i="112" s="1"/>
  <c r="L30" i="23"/>
  <c r="M30" i="112" s="1"/>
  <c r="L11" i="23"/>
  <c r="M11" i="112" s="1"/>
  <c r="L15" i="23"/>
  <c r="L19" i="23"/>
  <c r="L23" i="23"/>
  <c r="L27" i="23"/>
  <c r="M27" i="112" s="1"/>
  <c r="L31" i="23"/>
  <c r="L8" i="23"/>
  <c r="L12" i="23"/>
  <c r="L16" i="23"/>
  <c r="L20" i="23"/>
  <c r="L24" i="23"/>
  <c r="L28" i="23"/>
  <c r="M28" i="112" s="1"/>
  <c r="L32" i="23"/>
  <c r="L9" i="23"/>
  <c r="L13" i="23"/>
  <c r="L17" i="23"/>
  <c r="L21" i="23"/>
  <c r="L25" i="23"/>
  <c r="L29" i="23"/>
  <c r="L31" i="113"/>
  <c r="L27" i="113"/>
  <c r="L23" i="113"/>
  <c r="L19" i="113"/>
  <c r="L15" i="113"/>
  <c r="L11" i="113"/>
  <c r="L30" i="113"/>
  <c r="L22" i="113"/>
  <c r="L18" i="113"/>
  <c r="L14" i="113"/>
  <c r="L10" i="113"/>
  <c r="L25" i="113"/>
  <c r="L17" i="113"/>
  <c r="L13" i="113"/>
  <c r="L9" i="113"/>
  <c r="L32" i="113"/>
  <c r="L28" i="113"/>
  <c r="L24" i="113"/>
  <c r="L20" i="113"/>
  <c r="L16" i="113"/>
  <c r="L12" i="113"/>
  <c r="M29" i="113"/>
  <c r="M21" i="113"/>
  <c r="M31" i="113"/>
  <c r="M27" i="113"/>
  <c r="M23" i="113"/>
  <c r="M15" i="113"/>
  <c r="M26" i="113"/>
  <c r="M18" i="113"/>
  <c r="M10" i="113"/>
  <c r="M35" i="24"/>
  <c r="M35" i="23"/>
  <c r="E42" i="23"/>
  <c r="H42" i="23" s="1"/>
  <c r="E40" i="23"/>
  <c r="H40" i="23" s="1"/>
  <c r="E42" i="24"/>
  <c r="H42" i="24" s="1"/>
  <c r="E53" i="2"/>
  <c r="H53" i="2" s="1"/>
  <c r="D9" i="92"/>
  <c r="D10" i="3"/>
  <c r="D10" i="92"/>
  <c r="D11" i="3"/>
  <c r="D11" i="92"/>
  <c r="D12" i="92"/>
  <c r="D13" i="92"/>
  <c r="D14" i="92"/>
  <c r="D15" i="3"/>
  <c r="D15" i="92"/>
  <c r="D16" i="92"/>
  <c r="D17" i="3"/>
  <c r="D17" i="92"/>
  <c r="D18" i="3"/>
  <c r="D18" i="92"/>
  <c r="D19" i="3"/>
  <c r="D19" i="92"/>
  <c r="D20" i="92"/>
  <c r="D21" i="3"/>
  <c r="J21" i="3" s="1"/>
  <c r="D21" i="92"/>
  <c r="D22" i="3"/>
  <c r="D22" i="92"/>
  <c r="D23" i="3"/>
  <c r="D23" i="92"/>
  <c r="D24" i="92"/>
  <c r="D25" i="3"/>
  <c r="D25" i="92"/>
  <c r="I25" i="92" s="1"/>
  <c r="D26" i="3"/>
  <c r="D26" i="92"/>
  <c r="D27" i="3"/>
  <c r="D27" i="92"/>
  <c r="D28" i="92"/>
  <c r="D29" i="3"/>
  <c r="D29" i="92"/>
  <c r="D30" i="3"/>
  <c r="J30" i="3" s="1"/>
  <c r="D30" i="92"/>
  <c r="D31" i="3"/>
  <c r="D31" i="92"/>
  <c r="D32" i="92"/>
  <c r="D32" i="91"/>
  <c r="D30" i="91"/>
  <c r="D28" i="91"/>
  <c r="D26" i="91"/>
  <c r="D24" i="91"/>
  <c r="D22" i="91"/>
  <c r="D20" i="91"/>
  <c r="D18" i="91"/>
  <c r="D16" i="91"/>
  <c r="D14" i="91"/>
  <c r="I14" i="91" s="1"/>
  <c r="D12" i="91"/>
  <c r="I26" i="112"/>
  <c r="I15" i="112"/>
  <c r="I10" i="112"/>
  <c r="D13" i="3"/>
  <c r="D9" i="3"/>
  <c r="D9" i="2"/>
  <c r="D31" i="91"/>
  <c r="D29" i="91"/>
  <c r="D27" i="91"/>
  <c r="D25" i="91"/>
  <c r="D23" i="91"/>
  <c r="D21" i="91"/>
  <c r="D19" i="91"/>
  <c r="D17" i="91"/>
  <c r="D15" i="91"/>
  <c r="D13" i="91"/>
  <c r="D11" i="91"/>
  <c r="D35" i="91" s="1"/>
  <c r="B39" i="91" s="1"/>
  <c r="D31" i="2"/>
  <c r="D29" i="2"/>
  <c r="D27" i="2"/>
  <c r="D25" i="2"/>
  <c r="D23" i="2"/>
  <c r="D21" i="2"/>
  <c r="D19" i="2"/>
  <c r="D17" i="2"/>
  <c r="D15" i="2"/>
  <c r="D13" i="2"/>
  <c r="D11" i="2"/>
  <c r="C35" i="91"/>
  <c r="B35" i="23"/>
  <c r="B39" i="23"/>
  <c r="G31" i="24"/>
  <c r="E30" i="63"/>
  <c r="E26" i="63"/>
  <c r="J26" i="63" s="1"/>
  <c r="G23" i="24"/>
  <c r="E22" i="63"/>
  <c r="J22" i="63" s="1"/>
  <c r="E18" i="63"/>
  <c r="J18" i="63" s="1"/>
  <c r="G15" i="24"/>
  <c r="E14" i="63"/>
  <c r="E10" i="63"/>
  <c r="J10" i="63"/>
  <c r="E31" i="62"/>
  <c r="E29" i="62"/>
  <c r="J29" i="62" s="1"/>
  <c r="E27" i="62"/>
  <c r="J27" i="62"/>
  <c r="E25" i="62"/>
  <c r="J25" i="62"/>
  <c r="E23" i="62"/>
  <c r="E21" i="62"/>
  <c r="J21" i="62" s="1"/>
  <c r="E19" i="62"/>
  <c r="J19" i="62"/>
  <c r="E17" i="62"/>
  <c r="J17" i="62"/>
  <c r="E15" i="62"/>
  <c r="E13" i="62"/>
  <c r="J13" i="62" s="1"/>
  <c r="E11" i="62"/>
  <c r="J11" i="62"/>
  <c r="D10" i="91"/>
  <c r="E9" i="62"/>
  <c r="U35" i="62"/>
  <c r="D8" i="91"/>
  <c r="B35" i="91"/>
  <c r="D32" i="3"/>
  <c r="G30" i="24"/>
  <c r="E29" i="63"/>
  <c r="D28" i="3"/>
  <c r="E25" i="63"/>
  <c r="J25" i="63" s="1"/>
  <c r="D24" i="3"/>
  <c r="G22" i="24"/>
  <c r="E21" i="63"/>
  <c r="D20" i="3"/>
  <c r="E17" i="63"/>
  <c r="J17" i="63" s="1"/>
  <c r="D16" i="3"/>
  <c r="G14" i="24"/>
  <c r="E13" i="63"/>
  <c r="D12" i="3"/>
  <c r="E9" i="63"/>
  <c r="J9" i="63" s="1"/>
  <c r="D8" i="3"/>
  <c r="C35" i="3"/>
  <c r="D32" i="2"/>
  <c r="D30" i="2"/>
  <c r="D28" i="2"/>
  <c r="D26" i="2"/>
  <c r="D24" i="2"/>
  <c r="D22" i="2"/>
  <c r="D20" i="2"/>
  <c r="D18" i="2"/>
  <c r="D16" i="2"/>
  <c r="D14" i="2"/>
  <c r="D12" i="2"/>
  <c r="D10" i="2"/>
  <c r="D35" i="62"/>
  <c r="D8" i="2"/>
  <c r="C35" i="2"/>
  <c r="E32" i="63"/>
  <c r="J32" i="63" s="1"/>
  <c r="G29" i="24"/>
  <c r="E28" i="63"/>
  <c r="J28" i="63" s="1"/>
  <c r="E24" i="63"/>
  <c r="J24" i="63"/>
  <c r="G21" i="24"/>
  <c r="E20" i="63"/>
  <c r="J20" i="63"/>
  <c r="E16" i="63"/>
  <c r="J16" i="63"/>
  <c r="G13" i="24"/>
  <c r="E12" i="63"/>
  <c r="J12" i="63"/>
  <c r="B35" i="3"/>
  <c r="E32" i="62"/>
  <c r="J32" i="62" s="1"/>
  <c r="D31" i="72"/>
  <c r="E30" i="62"/>
  <c r="E28" i="62"/>
  <c r="J28" i="62" s="1"/>
  <c r="D27" i="72"/>
  <c r="E26" i="62"/>
  <c r="J26" i="62" s="1"/>
  <c r="E24" i="62"/>
  <c r="J24" i="62" s="1"/>
  <c r="D23" i="72"/>
  <c r="E22" i="62"/>
  <c r="E20" i="62"/>
  <c r="J20" i="62" s="1"/>
  <c r="D19" i="72"/>
  <c r="E18" i="62"/>
  <c r="J18" i="62" s="1"/>
  <c r="E16" i="62"/>
  <c r="J16" i="62"/>
  <c r="D15" i="72"/>
  <c r="E14" i="62"/>
  <c r="E12" i="62"/>
  <c r="J12" i="62"/>
  <c r="D11" i="72"/>
  <c r="E10" i="62"/>
  <c r="J10" i="62"/>
  <c r="D9" i="91"/>
  <c r="D9" i="72"/>
  <c r="B35" i="2"/>
  <c r="G32" i="24"/>
  <c r="E31" i="63"/>
  <c r="J31" i="63" s="1"/>
  <c r="G28" i="24"/>
  <c r="E27" i="63"/>
  <c r="G24" i="24"/>
  <c r="E23" i="63"/>
  <c r="J23" i="63" s="1"/>
  <c r="G20" i="24"/>
  <c r="E19" i="63"/>
  <c r="J19" i="63"/>
  <c r="G16" i="24"/>
  <c r="E15" i="63"/>
  <c r="J15" i="63"/>
  <c r="D14" i="3"/>
  <c r="D13" i="83"/>
  <c r="G12" i="24"/>
  <c r="E11" i="63"/>
  <c r="J11" i="63"/>
  <c r="D9" i="83"/>
  <c r="D8" i="92"/>
  <c r="D35" i="92"/>
  <c r="B39" i="92" s="1"/>
  <c r="B35" i="92"/>
  <c r="B35" i="24"/>
  <c r="B39" i="24" s="1"/>
  <c r="G8" i="24"/>
  <c r="I18" i="112"/>
  <c r="I12" i="112"/>
  <c r="D14" i="82"/>
  <c r="D18" i="82"/>
  <c r="D22" i="82"/>
  <c r="D26" i="82"/>
  <c r="D30" i="82"/>
  <c r="D25" i="72"/>
  <c r="D29" i="72"/>
  <c r="D10" i="73"/>
  <c r="D10" i="82"/>
  <c r="D17" i="83"/>
  <c r="D25" i="83"/>
  <c r="D16" i="82"/>
  <c r="D28" i="82"/>
  <c r="D12" i="82"/>
  <c r="D24" i="82"/>
  <c r="D21" i="83"/>
  <c r="D29" i="83"/>
  <c r="D20" i="82"/>
  <c r="D32" i="82"/>
  <c r="D14" i="73"/>
  <c r="D30" i="73"/>
  <c r="D13" i="72"/>
  <c r="D17" i="72"/>
  <c r="D21" i="72"/>
  <c r="D18" i="73"/>
  <c r="D22" i="73"/>
  <c r="D26" i="73"/>
  <c r="B35" i="112"/>
  <c r="B39" i="112" s="1"/>
  <c r="B35" i="72"/>
  <c r="C35" i="62"/>
  <c r="E8" i="62"/>
  <c r="D11" i="83"/>
  <c r="D16" i="73"/>
  <c r="G16" i="73" s="1"/>
  <c r="D27" i="83"/>
  <c r="D32" i="73"/>
  <c r="G32" i="73" s="1"/>
  <c r="D10" i="72"/>
  <c r="D12" i="72"/>
  <c r="D16" i="72"/>
  <c r="D20" i="72"/>
  <c r="D24" i="72"/>
  <c r="D28" i="72"/>
  <c r="G28" i="72" s="1"/>
  <c r="D32" i="72"/>
  <c r="D9" i="73"/>
  <c r="D13" i="73"/>
  <c r="D17" i="73"/>
  <c r="D21" i="73"/>
  <c r="D25" i="73"/>
  <c r="D29" i="73"/>
  <c r="D11" i="73"/>
  <c r="G11" i="73" s="1"/>
  <c r="D15" i="73"/>
  <c r="D19" i="73"/>
  <c r="D23" i="73"/>
  <c r="D27" i="73"/>
  <c r="D31" i="73"/>
  <c r="D35" i="3"/>
  <c r="B40" i="3" s="1"/>
  <c r="B49" i="3" s="1"/>
  <c r="D15" i="83"/>
  <c r="G15" i="83" s="1"/>
  <c r="D20" i="73"/>
  <c r="D31" i="83"/>
  <c r="D14" i="72"/>
  <c r="D18" i="72"/>
  <c r="D22" i="72"/>
  <c r="D26" i="72"/>
  <c r="D30" i="72"/>
  <c r="C35" i="83"/>
  <c r="D8" i="83"/>
  <c r="D12" i="83"/>
  <c r="D16" i="83"/>
  <c r="D20" i="83"/>
  <c r="D24" i="83"/>
  <c r="D28" i="83"/>
  <c r="G28" i="83" s="1"/>
  <c r="D32" i="83"/>
  <c r="C34" i="82"/>
  <c r="D8" i="82"/>
  <c r="D34" i="82" s="1"/>
  <c r="B43" i="82" s="1"/>
  <c r="B35" i="73"/>
  <c r="D10" i="83"/>
  <c r="D14" i="83"/>
  <c r="D18" i="83"/>
  <c r="D22" i="83"/>
  <c r="D26" i="83"/>
  <c r="D30" i="83"/>
  <c r="B35" i="83"/>
  <c r="D19" i="83"/>
  <c r="D24" i="73"/>
  <c r="B34" i="82"/>
  <c r="D9" i="82"/>
  <c r="D11" i="82"/>
  <c r="G11" i="82" s="1"/>
  <c r="D15" i="82"/>
  <c r="D19" i="82"/>
  <c r="D23" i="82"/>
  <c r="D27" i="82"/>
  <c r="D31" i="82"/>
  <c r="B35" i="113"/>
  <c r="B39" i="113" s="1"/>
  <c r="E8" i="63"/>
  <c r="C35" i="63"/>
  <c r="C35" i="73"/>
  <c r="D8" i="73"/>
  <c r="D12" i="73"/>
  <c r="D23" i="83"/>
  <c r="G23" i="83" s="1"/>
  <c r="D28" i="73"/>
  <c r="C35" i="72"/>
  <c r="D8" i="72"/>
  <c r="D13" i="82"/>
  <c r="D17" i="82"/>
  <c r="D21" i="82"/>
  <c r="D25" i="82"/>
  <c r="D29" i="82"/>
  <c r="J8" i="63"/>
  <c r="J8" i="62"/>
  <c r="AA23" i="63"/>
  <c r="AA14" i="63"/>
  <c r="T23" i="63"/>
  <c r="AA15" i="63"/>
  <c r="T19" i="63"/>
  <c r="AA30" i="63"/>
  <c r="AA22" i="63"/>
  <c r="AA31" i="63"/>
  <c r="I26" i="91"/>
  <c r="G32" i="83"/>
  <c r="I31" i="92"/>
  <c r="G30" i="73"/>
  <c r="T30" i="63"/>
  <c r="G29" i="83"/>
  <c r="G27" i="73"/>
  <c r="J27" i="3"/>
  <c r="T27" i="63"/>
  <c r="G26" i="83"/>
  <c r="G24" i="73"/>
  <c r="G23" i="82"/>
  <c r="I22" i="91"/>
  <c r="G21" i="73"/>
  <c r="G20" i="83"/>
  <c r="E19" i="113"/>
  <c r="G18" i="73"/>
  <c r="J18" i="3"/>
  <c r="I17" i="92"/>
  <c r="E16" i="113"/>
  <c r="K16" i="113" s="1"/>
  <c r="G15" i="73"/>
  <c r="J15" i="3"/>
  <c r="T15" i="63"/>
  <c r="I14" i="92"/>
  <c r="G12" i="73"/>
  <c r="I8" i="92"/>
  <c r="I32" i="92"/>
  <c r="G30" i="83"/>
  <c r="I26" i="92"/>
  <c r="G25" i="73"/>
  <c r="J25" i="3"/>
  <c r="E25" i="113"/>
  <c r="G24" i="83"/>
  <c r="I23" i="92"/>
  <c r="G22" i="73"/>
  <c r="J22" i="3"/>
  <c r="G21" i="83"/>
  <c r="I20" i="92"/>
  <c r="G19" i="73"/>
  <c r="J19" i="3"/>
  <c r="G19" i="72"/>
  <c r="G18" i="83"/>
  <c r="G15" i="82"/>
  <c r="I15" i="91"/>
  <c r="G13" i="73"/>
  <c r="J13" i="3"/>
  <c r="G12" i="83"/>
  <c r="G10" i="73"/>
  <c r="J10" i="3"/>
  <c r="I9" i="92"/>
  <c r="G31" i="83"/>
  <c r="G29" i="73"/>
  <c r="J29" i="3"/>
  <c r="G26" i="73"/>
  <c r="J26" i="3"/>
  <c r="E24" i="113"/>
  <c r="G23" i="73"/>
  <c r="J23" i="3"/>
  <c r="I22" i="92"/>
  <c r="G20" i="73"/>
  <c r="J20" i="3"/>
  <c r="G17" i="83"/>
  <c r="I16" i="92"/>
  <c r="G14" i="83"/>
  <c r="I10" i="92"/>
  <c r="G9" i="73"/>
  <c r="G35" i="73" s="1"/>
  <c r="J9" i="3"/>
  <c r="E35" i="83"/>
  <c r="G8" i="83"/>
  <c r="G31" i="73"/>
  <c r="J31" i="3"/>
  <c r="E31" i="113"/>
  <c r="K31" i="113" s="1"/>
  <c r="I30" i="92"/>
  <c r="G28" i="73"/>
  <c r="J28" i="3"/>
  <c r="I27" i="91"/>
  <c r="G25" i="83"/>
  <c r="I24" i="92"/>
  <c r="G23" i="72"/>
  <c r="G22" i="83"/>
  <c r="G19" i="83"/>
  <c r="I19" i="83" s="1"/>
  <c r="T19" i="83" s="1"/>
  <c r="I18" i="92"/>
  <c r="G17" i="73"/>
  <c r="J17" i="3"/>
  <c r="G16" i="83"/>
  <c r="I15" i="92"/>
  <c r="G14" i="73"/>
  <c r="J14" i="3"/>
  <c r="E14" i="113"/>
  <c r="G13" i="83"/>
  <c r="I12" i="92"/>
  <c r="J11" i="3"/>
  <c r="T11" i="63"/>
  <c r="G11" i="72"/>
  <c r="G10" i="83"/>
  <c r="E35" i="73"/>
  <c r="G8" i="73"/>
  <c r="H35" i="3"/>
  <c r="B41" i="3"/>
  <c r="E40" i="3" s="1"/>
  <c r="AA11" i="62"/>
  <c r="AA23" i="62"/>
  <c r="T23" i="62"/>
  <c r="AA19" i="62"/>
  <c r="I10" i="91"/>
  <c r="I24" i="91"/>
  <c r="I18" i="91"/>
  <c r="T11" i="62"/>
  <c r="T19" i="62"/>
  <c r="U9" i="2"/>
  <c r="G20" i="72"/>
  <c r="G31" i="72"/>
  <c r="G8" i="72"/>
  <c r="E11" i="113"/>
  <c r="G16" i="72"/>
  <c r="I32" i="91"/>
  <c r="E22" i="113"/>
  <c r="K22" i="113" s="1"/>
  <c r="E28" i="113"/>
  <c r="K14" i="113"/>
  <c r="K35" i="73"/>
  <c r="H40" i="73"/>
  <c r="E17" i="113"/>
  <c r="H35" i="63"/>
  <c r="B41" i="63" s="1"/>
  <c r="E40" i="63" s="1"/>
  <c r="E8" i="113"/>
  <c r="E35" i="72"/>
  <c r="B41" i="72"/>
  <c r="G9" i="23"/>
  <c r="J11" i="2"/>
  <c r="J19" i="2"/>
  <c r="J23" i="2"/>
  <c r="U11" i="2"/>
  <c r="G11" i="23"/>
  <c r="U27" i="2"/>
  <c r="G27" i="23"/>
  <c r="U18" i="2"/>
  <c r="U13" i="2"/>
  <c r="V13" i="2" s="1"/>
  <c r="G13" i="23"/>
  <c r="U30" i="2"/>
  <c r="G30" i="23"/>
  <c r="U26" i="2"/>
  <c r="U20" i="2"/>
  <c r="U24" i="2"/>
  <c r="G24" i="23"/>
  <c r="U15" i="2"/>
  <c r="V15" i="2" s="1"/>
  <c r="G15" i="23"/>
  <c r="U31" i="2"/>
  <c r="G31" i="23"/>
  <c r="U16" i="2"/>
  <c r="G16" i="23"/>
  <c r="U22" i="2"/>
  <c r="G22" i="23"/>
  <c r="U29" i="2"/>
  <c r="G29" i="23"/>
  <c r="U19" i="2"/>
  <c r="G19" i="23"/>
  <c r="U10" i="2"/>
  <c r="U25" i="2"/>
  <c r="G25" i="23"/>
  <c r="U14" i="2"/>
  <c r="G14" i="23"/>
  <c r="U8" i="2"/>
  <c r="G8" i="23"/>
  <c r="C35" i="23"/>
  <c r="U32" i="2"/>
  <c r="G32" i="23"/>
  <c r="C19" i="112"/>
  <c r="G19" i="112"/>
  <c r="U23" i="2"/>
  <c r="G23" i="23"/>
  <c r="U28" i="2"/>
  <c r="U17" i="2"/>
  <c r="G17" i="23"/>
  <c r="U21" i="2"/>
  <c r="G21" i="23"/>
  <c r="U12" i="2"/>
  <c r="G13" i="72"/>
  <c r="G21" i="72"/>
  <c r="G29" i="72"/>
  <c r="C11" i="112"/>
  <c r="I16" i="91"/>
  <c r="G19" i="82"/>
  <c r="I28" i="91"/>
  <c r="E15" i="113"/>
  <c r="G15" i="113" s="1"/>
  <c r="E30" i="113"/>
  <c r="K30" i="113" s="1"/>
  <c r="E34" i="82"/>
  <c r="G8" i="82"/>
  <c r="G10" i="82"/>
  <c r="G12" i="82"/>
  <c r="G14" i="82"/>
  <c r="G16" i="82"/>
  <c r="G18" i="82"/>
  <c r="G20" i="82"/>
  <c r="G22" i="82"/>
  <c r="G24" i="82"/>
  <c r="G26" i="82"/>
  <c r="G28" i="82"/>
  <c r="G30" i="82"/>
  <c r="G32" i="82"/>
  <c r="I9" i="91"/>
  <c r="G10" i="72"/>
  <c r="I17" i="91"/>
  <c r="G18" i="72"/>
  <c r="I25" i="91"/>
  <c r="G26" i="72"/>
  <c r="G13" i="82"/>
  <c r="G21" i="82"/>
  <c r="G29" i="82"/>
  <c r="G15" i="72"/>
  <c r="I31" i="91"/>
  <c r="I11" i="91"/>
  <c r="I20" i="91"/>
  <c r="G27" i="72"/>
  <c r="E27" i="113"/>
  <c r="G9" i="72"/>
  <c r="G17" i="72"/>
  <c r="G25" i="72"/>
  <c r="B50" i="3"/>
  <c r="B41" i="73"/>
  <c r="E40" i="73"/>
  <c r="C23" i="112"/>
  <c r="G27" i="82"/>
  <c r="B42" i="83"/>
  <c r="E41" i="83"/>
  <c r="E9" i="113"/>
  <c r="G12" i="72"/>
  <c r="I12" i="72" s="1"/>
  <c r="I19" i="91"/>
  <c r="E20" i="113"/>
  <c r="K24" i="113"/>
  <c r="G32" i="72"/>
  <c r="E32" i="113"/>
  <c r="I8" i="91"/>
  <c r="F35" i="91"/>
  <c r="G9" i="82"/>
  <c r="G17" i="82"/>
  <c r="G25" i="82"/>
  <c r="I13" i="91"/>
  <c r="G14" i="72"/>
  <c r="I21" i="91"/>
  <c r="G22" i="72"/>
  <c r="I29" i="91"/>
  <c r="G30" i="72"/>
  <c r="S35" i="3"/>
  <c r="H40" i="3" s="1"/>
  <c r="H51" i="3" s="1"/>
  <c r="E23" i="113"/>
  <c r="I30" i="91"/>
  <c r="G31" i="82"/>
  <c r="E12" i="113"/>
  <c r="I23" i="91"/>
  <c r="G24" i="72"/>
  <c r="AA9" i="62"/>
  <c r="AA26" i="62"/>
  <c r="AA29" i="62"/>
  <c r="T29" i="62"/>
  <c r="AA30" i="62"/>
  <c r="T16" i="62"/>
  <c r="AA31" i="62"/>
  <c r="AA25" i="62"/>
  <c r="T25" i="62"/>
  <c r="AA27" i="62"/>
  <c r="T18" i="62"/>
  <c r="AA21" i="62"/>
  <c r="AA22" i="62"/>
  <c r="T22" i="62"/>
  <c r="AA17" i="62"/>
  <c r="AA15" i="62"/>
  <c r="T15" i="62"/>
  <c r="AA10" i="62"/>
  <c r="AA13" i="62"/>
  <c r="T13" i="62"/>
  <c r="AA14" i="62"/>
  <c r="T24" i="62"/>
  <c r="J14" i="2"/>
  <c r="T17" i="62"/>
  <c r="T9" i="62"/>
  <c r="T20" i="62"/>
  <c r="T31" i="62"/>
  <c r="T26" i="62"/>
  <c r="T30" i="62"/>
  <c r="T32" i="62"/>
  <c r="T27" i="62"/>
  <c r="T21" i="62"/>
  <c r="T10" i="62"/>
  <c r="T14" i="62"/>
  <c r="J28" i="2"/>
  <c r="C17" i="112"/>
  <c r="J26" i="2"/>
  <c r="J30" i="2"/>
  <c r="J12" i="2"/>
  <c r="C9" i="112"/>
  <c r="C15" i="112"/>
  <c r="J10" i="2"/>
  <c r="K15" i="113"/>
  <c r="K28" i="113"/>
  <c r="C28" i="112"/>
  <c r="G28" i="112" s="1"/>
  <c r="E40" i="72"/>
  <c r="C32" i="112"/>
  <c r="C29" i="112"/>
  <c r="J29" i="2"/>
  <c r="J15" i="2"/>
  <c r="J18" i="2"/>
  <c r="C18" i="112"/>
  <c r="C21" i="112"/>
  <c r="C12" i="112"/>
  <c r="C27" i="112"/>
  <c r="G27" i="112"/>
  <c r="C13" i="112"/>
  <c r="C24" i="112"/>
  <c r="J22" i="2"/>
  <c r="J17" i="2"/>
  <c r="C31" i="112"/>
  <c r="C22" i="112"/>
  <c r="K22" i="112" s="1"/>
  <c r="P35" i="63"/>
  <c r="H40" i="63" s="1"/>
  <c r="K12" i="113"/>
  <c r="C14" i="112"/>
  <c r="C25" i="112"/>
  <c r="G25" i="112" s="1"/>
  <c r="J27" i="2"/>
  <c r="J25" i="2"/>
  <c r="M25" i="2" s="1"/>
  <c r="E35" i="2"/>
  <c r="B40" i="2"/>
  <c r="K19" i="112"/>
  <c r="K35" i="72"/>
  <c r="H40" i="72"/>
  <c r="L35" i="91"/>
  <c r="H39" i="91" s="1"/>
  <c r="H50" i="91" s="1"/>
  <c r="K23" i="112"/>
  <c r="J16" i="2"/>
  <c r="B40" i="23"/>
  <c r="E39" i="23"/>
  <c r="J20" i="2"/>
  <c r="J31" i="2"/>
  <c r="J35" i="23"/>
  <c r="H39" i="23"/>
  <c r="K34" i="82"/>
  <c r="H43" i="82" s="1"/>
  <c r="G34" i="82"/>
  <c r="C30" i="112"/>
  <c r="C16" i="112"/>
  <c r="C20" i="112"/>
  <c r="E39" i="91"/>
  <c r="B40" i="91"/>
  <c r="K32" i="113"/>
  <c r="G32" i="113"/>
  <c r="B44" i="82"/>
  <c r="E43" i="82"/>
  <c r="C10" i="112"/>
  <c r="E51" i="3"/>
  <c r="F35" i="62"/>
  <c r="B41" i="62"/>
  <c r="C8" i="112"/>
  <c r="K20" i="113"/>
  <c r="C26" i="112"/>
  <c r="K18" i="112"/>
  <c r="K17" i="112"/>
  <c r="K12" i="112"/>
  <c r="K27" i="112"/>
  <c r="K30" i="112"/>
  <c r="K24" i="112"/>
  <c r="K15" i="112"/>
  <c r="K21" i="112"/>
  <c r="E39" i="2"/>
  <c r="E49" i="2" s="1"/>
  <c r="K29" i="112"/>
  <c r="K10" i="112"/>
  <c r="B48" i="2"/>
  <c r="K25" i="112"/>
  <c r="K13" i="112"/>
  <c r="K14" i="112"/>
  <c r="K31" i="112"/>
  <c r="K20" i="112"/>
  <c r="K26" i="112"/>
  <c r="E40" i="62"/>
  <c r="P35" i="62"/>
  <c r="H40" i="62" s="1"/>
  <c r="K8" i="112"/>
  <c r="E50" i="91"/>
  <c r="O32" i="91"/>
  <c r="V32" i="2"/>
  <c r="O31" i="92"/>
  <c r="V28" i="2"/>
  <c r="O28" i="91"/>
  <c r="O27" i="92"/>
  <c r="O23" i="92"/>
  <c r="O23" i="113" s="1"/>
  <c r="O20" i="91"/>
  <c r="V20" i="2"/>
  <c r="O19" i="92"/>
  <c r="O16" i="91"/>
  <c r="V16" i="2"/>
  <c r="O15" i="92"/>
  <c r="O15" i="113" s="1"/>
  <c r="P35" i="92"/>
  <c r="O30" i="92"/>
  <c r="O22" i="92"/>
  <c r="O14" i="92"/>
  <c r="V12" i="2"/>
  <c r="O12" i="91"/>
  <c r="O11" i="92"/>
  <c r="V8" i="2"/>
  <c r="O8" i="91"/>
  <c r="O29" i="92"/>
  <c r="V26" i="2"/>
  <c r="O26" i="91"/>
  <c r="O26" i="112" s="1"/>
  <c r="O25" i="92"/>
  <c r="O21" i="92"/>
  <c r="V18" i="2"/>
  <c r="O18" i="91"/>
  <c r="O17" i="92"/>
  <c r="V14" i="2"/>
  <c r="O13" i="92"/>
  <c r="V10" i="2"/>
  <c r="O10" i="91"/>
  <c r="O10" i="112" s="1"/>
  <c r="O9" i="92"/>
  <c r="Q10" i="113"/>
  <c r="Q28" i="113"/>
  <c r="Q18" i="113"/>
  <c r="Q14" i="113"/>
  <c r="Q17" i="113"/>
  <c r="Q24" i="113"/>
  <c r="Q31" i="113"/>
  <c r="Q19" i="113"/>
  <c r="Q32" i="113"/>
  <c r="Q26" i="113"/>
  <c r="Q8" i="113"/>
  <c r="Q12" i="113"/>
  <c r="Q23" i="113"/>
  <c r="Q30" i="113"/>
  <c r="Q15" i="113"/>
  <c r="Q20" i="113"/>
  <c r="P35" i="91"/>
  <c r="O31" i="91"/>
  <c r="V31" i="2"/>
  <c r="O31" i="112" s="1"/>
  <c r="Q31" i="112" s="1"/>
  <c r="V21" i="2"/>
  <c r="O21" i="91"/>
  <c r="O21" i="112" s="1"/>
  <c r="Q21" i="112" s="1"/>
  <c r="O19" i="91"/>
  <c r="V19" i="2"/>
  <c r="O19" i="112" s="1"/>
  <c r="Q19" i="112" s="1"/>
  <c r="O11" i="91"/>
  <c r="V9" i="2"/>
  <c r="O9" i="112" s="1"/>
  <c r="Q9" i="112" s="1"/>
  <c r="O9" i="91"/>
  <c r="O23" i="91"/>
  <c r="O23" i="112" s="1"/>
  <c r="Q23" i="112" s="1"/>
  <c r="V23" i="2"/>
  <c r="O15" i="91"/>
  <c r="O29" i="91"/>
  <c r="O17" i="91"/>
  <c r="V17" i="2"/>
  <c r="O27" i="91"/>
  <c r="O27" i="112" s="1"/>
  <c r="Q27" i="112" s="1"/>
  <c r="T27" i="112" s="1"/>
  <c r="V27" i="2"/>
  <c r="O13" i="91"/>
  <c r="O13" i="112" s="1"/>
  <c r="Q13" i="112" s="1"/>
  <c r="AF11" i="63"/>
  <c r="Q11" i="113"/>
  <c r="Q27" i="113"/>
  <c r="AB35" i="3"/>
  <c r="Q29" i="113"/>
  <c r="AF30" i="63"/>
  <c r="AF27" i="63"/>
  <c r="AF12" i="63"/>
  <c r="Q22" i="113"/>
  <c r="Q25" i="113"/>
  <c r="AF15" i="63"/>
  <c r="AF24" i="63"/>
  <c r="AF14" i="63"/>
  <c r="AF28" i="63"/>
  <c r="AD28" i="63" s="1"/>
  <c r="Q9" i="113"/>
  <c r="Q16" i="113"/>
  <c r="AF23" i="63"/>
  <c r="Q13" i="113"/>
  <c r="Q21" i="113"/>
  <c r="AF20" i="63"/>
  <c r="AF8" i="63"/>
  <c r="AF32" i="63"/>
  <c r="AD32" i="63" s="1"/>
  <c r="AF31" i="63"/>
  <c r="AD31" i="63" s="1"/>
  <c r="AF17" i="63"/>
  <c r="AF18" i="63"/>
  <c r="AF10" i="63"/>
  <c r="AD10" i="63" s="1"/>
  <c r="O17" i="112"/>
  <c r="Q17" i="112" s="1"/>
  <c r="O15" i="112"/>
  <c r="Q15" i="112" s="1"/>
  <c r="Q35" i="113"/>
  <c r="AF25" i="63"/>
  <c r="AF29" i="63"/>
  <c r="AD18" i="63"/>
  <c r="AD17" i="63"/>
  <c r="AD8" i="63"/>
  <c r="AD20" i="63"/>
  <c r="AF13" i="63"/>
  <c r="AD11" i="63"/>
  <c r="AD23" i="63"/>
  <c r="AF9" i="63"/>
  <c r="AD9" i="63" s="1"/>
  <c r="AD14" i="63"/>
  <c r="AD24" i="63"/>
  <c r="AD15" i="63"/>
  <c r="AF22" i="63"/>
  <c r="AD22" i="63" s="1"/>
  <c r="AD12" i="63"/>
  <c r="AD27" i="63"/>
  <c r="AD30" i="63"/>
  <c r="AD13" i="63"/>
  <c r="AD25" i="63"/>
  <c r="N35" i="83"/>
  <c r="N13" i="113"/>
  <c r="N21" i="113"/>
  <c r="N8" i="113"/>
  <c r="N9" i="113"/>
  <c r="N27" i="113"/>
  <c r="N25" i="113"/>
  <c r="N24" i="113"/>
  <c r="N28" i="113"/>
  <c r="N16" i="113"/>
  <c r="N19" i="113"/>
  <c r="N11" i="113"/>
  <c r="N32" i="113"/>
  <c r="N29" i="113"/>
  <c r="N20" i="113"/>
  <c r="N12" i="113"/>
  <c r="N30" i="113"/>
  <c r="N26" i="113"/>
  <c r="N22" i="113"/>
  <c r="N18" i="113"/>
  <c r="N14" i="113"/>
  <c r="N10" i="113"/>
  <c r="S27" i="112"/>
  <c r="P35" i="113"/>
  <c r="P35" i="112"/>
  <c r="O17" i="83"/>
  <c r="O27" i="83"/>
  <c r="Q27" i="83" s="1"/>
  <c r="O12" i="73"/>
  <c r="O26" i="83"/>
  <c r="O14" i="73"/>
  <c r="R14" i="73" s="1"/>
  <c r="O13" i="83"/>
  <c r="O24" i="73"/>
  <c r="O24" i="83"/>
  <c r="O18" i="73"/>
  <c r="O23" i="73"/>
  <c r="R23" i="73" s="1"/>
  <c r="U23" i="73" s="1"/>
  <c r="O11" i="73"/>
  <c r="R11" i="73" s="1"/>
  <c r="O16" i="73"/>
  <c r="Q16" i="73" s="1"/>
  <c r="O13" i="73"/>
  <c r="Q13" i="73" s="1"/>
  <c r="O12" i="83"/>
  <c r="R12" i="83" s="1"/>
  <c r="U12" i="83" s="1"/>
  <c r="O26" i="73"/>
  <c r="Q26" i="73" s="1"/>
  <c r="O29" i="73"/>
  <c r="O32" i="73"/>
  <c r="O17" i="73"/>
  <c r="O22" i="73"/>
  <c r="R22" i="73" s="1"/>
  <c r="O31" i="73"/>
  <c r="R31" i="73" s="1"/>
  <c r="O20" i="73"/>
  <c r="Q20" i="73" s="1"/>
  <c r="T20" i="73" s="1"/>
  <c r="O28" i="83"/>
  <c r="O28" i="73"/>
  <c r="O14" i="83"/>
  <c r="O31" i="83"/>
  <c r="O25" i="83"/>
  <c r="R25" i="83" s="1"/>
  <c r="U25" i="83" s="1"/>
  <c r="O18" i="83"/>
  <c r="Q18" i="83" s="1"/>
  <c r="O22" i="83"/>
  <c r="O23" i="83"/>
  <c r="R23" i="83" s="1"/>
  <c r="O32" i="83"/>
  <c r="Q32" i="83" s="1"/>
  <c r="T32" i="83" s="1"/>
  <c r="O29" i="83"/>
  <c r="Q29" i="83" s="1"/>
  <c r="T29" i="83" s="1"/>
  <c r="O25" i="73"/>
  <c r="O15" i="73"/>
  <c r="O10" i="83"/>
  <c r="R10" i="83" s="1"/>
  <c r="O27" i="73"/>
  <c r="O10" i="73"/>
  <c r="R10" i="73" s="1"/>
  <c r="O15" i="83"/>
  <c r="R15" i="83" s="1"/>
  <c r="O11" i="83"/>
  <c r="Q11" i="83" s="1"/>
  <c r="O9" i="83"/>
  <c r="O21" i="73"/>
  <c r="O19" i="73"/>
  <c r="O20" i="83"/>
  <c r="Q20" i="83" s="1"/>
  <c r="T20" i="83" s="1"/>
  <c r="O30" i="83"/>
  <c r="Q30" i="83" s="1"/>
  <c r="O30" i="73"/>
  <c r="R30" i="73" s="1"/>
  <c r="O21" i="83"/>
  <c r="Q21" i="83" s="1"/>
  <c r="O9" i="73"/>
  <c r="R9" i="73" s="1"/>
  <c r="U9" i="73" s="1"/>
  <c r="O16" i="83"/>
  <c r="R16" i="83" s="1"/>
  <c r="O19" i="83"/>
  <c r="O23" i="82"/>
  <c r="O11" i="82"/>
  <c r="Q11" i="82" s="1"/>
  <c r="O11" i="72"/>
  <c r="R11" i="72" s="1"/>
  <c r="O19" i="82"/>
  <c r="Q19" i="82" s="1"/>
  <c r="Q15" i="73"/>
  <c r="R15" i="73"/>
  <c r="R12" i="73"/>
  <c r="Q12" i="73"/>
  <c r="Q11" i="72"/>
  <c r="Q23" i="82"/>
  <c r="R23" i="82"/>
  <c r="R20" i="83"/>
  <c r="R21" i="73"/>
  <c r="Q21" i="73"/>
  <c r="Q25" i="73"/>
  <c r="R25" i="73"/>
  <c r="R32" i="83"/>
  <c r="Q28" i="73"/>
  <c r="R28" i="73"/>
  <c r="Q32" i="73"/>
  <c r="R32" i="73"/>
  <c r="R13" i="73"/>
  <c r="U13" i="73" s="1"/>
  <c r="Q24" i="73"/>
  <c r="R24" i="73"/>
  <c r="O8" i="73"/>
  <c r="Q8" i="73" s="1"/>
  <c r="M35" i="73"/>
  <c r="Q15" i="83"/>
  <c r="Q22" i="73"/>
  <c r="Q14" i="73"/>
  <c r="M35" i="83"/>
  <c r="O8" i="83"/>
  <c r="R8" i="83" s="1"/>
  <c r="Q9" i="73"/>
  <c r="Q19" i="73"/>
  <c r="R19" i="73"/>
  <c r="Q9" i="83"/>
  <c r="R9" i="83"/>
  <c r="R29" i="83"/>
  <c r="Q23" i="83"/>
  <c r="R28" i="83"/>
  <c r="Q28" i="83"/>
  <c r="R20" i="73"/>
  <c r="R29" i="73"/>
  <c r="Q29" i="73"/>
  <c r="T29" i="73" s="1"/>
  <c r="R17" i="83"/>
  <c r="Q17" i="83"/>
  <c r="Q16" i="83"/>
  <c r="Q27" i="73"/>
  <c r="R27" i="73"/>
  <c r="R14" i="83"/>
  <c r="Q14" i="83"/>
  <c r="Q12" i="83"/>
  <c r="R24" i="83"/>
  <c r="Q24" i="83"/>
  <c r="R19" i="83"/>
  <c r="Q19" i="83"/>
  <c r="Q10" i="73"/>
  <c r="R18" i="83"/>
  <c r="R31" i="83"/>
  <c r="Q31" i="83"/>
  <c r="Q31" i="73"/>
  <c r="T31" i="73" s="1"/>
  <c r="R26" i="73"/>
  <c r="R16" i="73"/>
  <c r="R18" i="73"/>
  <c r="Q18" i="73"/>
  <c r="R13" i="83"/>
  <c r="Q13" i="83"/>
  <c r="T13" i="83" s="1"/>
  <c r="O10" i="72"/>
  <c r="O16" i="82"/>
  <c r="O30" i="72"/>
  <c r="R30" i="72" s="1"/>
  <c r="O29" i="82"/>
  <c r="O17" i="82"/>
  <c r="O29" i="72"/>
  <c r="R29" i="72" s="1"/>
  <c r="U29" i="72" s="1"/>
  <c r="O25" i="82"/>
  <c r="O31" i="82"/>
  <c r="O9" i="82"/>
  <c r="O12" i="82"/>
  <c r="O13" i="82"/>
  <c r="O30" i="82"/>
  <c r="R30" i="82" s="1"/>
  <c r="O28" i="82"/>
  <c r="Q28" i="82" s="1"/>
  <c r="O27" i="72"/>
  <c r="Q27" i="72" s="1"/>
  <c r="O10" i="82"/>
  <c r="O26" i="82"/>
  <c r="O31" i="72"/>
  <c r="O23" i="72"/>
  <c r="O9" i="72"/>
  <c r="O28" i="72"/>
  <c r="O17" i="72"/>
  <c r="O26" i="72"/>
  <c r="Q26" i="72" s="1"/>
  <c r="O13" i="72"/>
  <c r="Q13" i="72" s="1"/>
  <c r="O27" i="82"/>
  <c r="O16" i="72"/>
  <c r="O19" i="72"/>
  <c r="O25" i="72"/>
  <c r="O12" i="72"/>
  <c r="R12" i="72" s="1"/>
  <c r="Q30" i="72"/>
  <c r="R16" i="72"/>
  <c r="Q16" i="72"/>
  <c r="Q9" i="72"/>
  <c r="R9" i="72"/>
  <c r="R28" i="82"/>
  <c r="U28" i="82" s="1"/>
  <c r="Q29" i="72"/>
  <c r="O35" i="73"/>
  <c r="E43" i="73" s="1"/>
  <c r="H43" i="73" s="1"/>
  <c r="H46" i="73" s="1"/>
  <c r="R8" i="73"/>
  <c r="Q12" i="72"/>
  <c r="R31" i="72"/>
  <c r="Q31" i="72"/>
  <c r="R27" i="82"/>
  <c r="Q27" i="82"/>
  <c r="R13" i="72"/>
  <c r="R10" i="82"/>
  <c r="Q10" i="82"/>
  <c r="Q30" i="82"/>
  <c r="Q31" i="82"/>
  <c r="R31" i="82"/>
  <c r="R17" i="82"/>
  <c r="U17" i="82" s="1"/>
  <c r="Q17" i="82"/>
  <c r="R10" i="72"/>
  <c r="Q10" i="72"/>
  <c r="Q8" i="83"/>
  <c r="Q29" i="82"/>
  <c r="R29" i="82"/>
  <c r="Q25" i="72"/>
  <c r="T25" i="72" s="1"/>
  <c r="R25" i="72"/>
  <c r="U25" i="72" s="1"/>
  <c r="Q17" i="72"/>
  <c r="T17" i="72" s="1"/>
  <c r="R17" i="72"/>
  <c r="R28" i="72"/>
  <c r="Q28" i="72"/>
  <c r="R26" i="82"/>
  <c r="Q26" i="82"/>
  <c r="R13" i="82"/>
  <c r="Q13" i="82"/>
  <c r="R9" i="82"/>
  <c r="Q9" i="82"/>
  <c r="R25" i="82"/>
  <c r="Q25" i="82"/>
  <c r="O15" i="72"/>
  <c r="O24" i="72"/>
  <c r="O21" i="72"/>
  <c r="R21" i="72" s="1"/>
  <c r="U21" i="72" s="1"/>
  <c r="O20" i="82"/>
  <c r="O22" i="82"/>
  <c r="O15" i="82"/>
  <c r="O32" i="72"/>
  <c r="Q32" i="72" s="1"/>
  <c r="T32" i="72" s="1"/>
  <c r="O24" i="82"/>
  <c r="O14" i="82"/>
  <c r="O32" i="82"/>
  <c r="O21" i="82"/>
  <c r="Q21" i="82" s="1"/>
  <c r="T21" i="82" s="1"/>
  <c r="O18" i="72"/>
  <c r="O14" i="72"/>
  <c r="R14" i="72" s="1"/>
  <c r="O18" i="82"/>
  <c r="O22" i="72"/>
  <c r="O20" i="72"/>
  <c r="R15" i="72"/>
  <c r="U15" i="72" s="1"/>
  <c r="Q15" i="72"/>
  <c r="O8" i="82"/>
  <c r="R8" i="82" s="1"/>
  <c r="M34" i="82"/>
  <c r="Q14" i="72"/>
  <c r="T14" i="72" s="1"/>
  <c r="O8" i="72"/>
  <c r="Q8" i="72" s="1"/>
  <c r="M35" i="72"/>
  <c r="R18" i="72"/>
  <c r="Q18" i="72"/>
  <c r="Q21" i="72"/>
  <c r="R18" i="82"/>
  <c r="Q18" i="82"/>
  <c r="R24" i="82"/>
  <c r="Q24" i="82"/>
  <c r="R21" i="82"/>
  <c r="R32" i="82"/>
  <c r="Q32" i="82"/>
  <c r="Q14" i="82"/>
  <c r="R14" i="82"/>
  <c r="R32" i="72"/>
  <c r="Q20" i="82"/>
  <c r="R20" i="82"/>
  <c r="R24" i="72"/>
  <c r="Q24" i="72"/>
  <c r="E46" i="73"/>
  <c r="I10" i="83"/>
  <c r="U10" i="83" s="1"/>
  <c r="I12" i="83"/>
  <c r="I13" i="83"/>
  <c r="I14" i="83"/>
  <c r="I15" i="83"/>
  <c r="I16" i="83"/>
  <c r="T16" i="83" s="1"/>
  <c r="I17" i="83"/>
  <c r="T17" i="83" s="1"/>
  <c r="I18" i="83"/>
  <c r="U18" i="83" s="1"/>
  <c r="I20" i="83"/>
  <c r="I21" i="83"/>
  <c r="I22" i="83"/>
  <c r="I23" i="83"/>
  <c r="T23" i="83" s="1"/>
  <c r="I24" i="83"/>
  <c r="T24" i="83" s="1"/>
  <c r="I25" i="83"/>
  <c r="I26" i="83"/>
  <c r="I28" i="83"/>
  <c r="I29" i="83"/>
  <c r="I30" i="83"/>
  <c r="I31" i="83"/>
  <c r="I32" i="83"/>
  <c r="U32" i="83" s="1"/>
  <c r="I9" i="73"/>
  <c r="I10" i="73"/>
  <c r="T10" i="73" s="1"/>
  <c r="I11" i="73"/>
  <c r="U11" i="73" s="1"/>
  <c r="I12" i="73"/>
  <c r="I13" i="73"/>
  <c r="I14" i="73"/>
  <c r="I15" i="73"/>
  <c r="I16" i="73"/>
  <c r="U16" i="73" s="1"/>
  <c r="I17" i="73"/>
  <c r="I18" i="73"/>
  <c r="T18" i="73" s="1"/>
  <c r="I19" i="73"/>
  <c r="U19" i="73" s="1"/>
  <c r="I20" i="73"/>
  <c r="I21" i="73"/>
  <c r="I22" i="73"/>
  <c r="I23" i="73"/>
  <c r="I24" i="73"/>
  <c r="U24" i="73" s="1"/>
  <c r="I25" i="73"/>
  <c r="I26" i="73"/>
  <c r="T26" i="73" s="1"/>
  <c r="I27" i="73"/>
  <c r="I28" i="73"/>
  <c r="I29" i="73"/>
  <c r="I30" i="73"/>
  <c r="I31" i="73"/>
  <c r="I32" i="73"/>
  <c r="U32" i="73" s="1"/>
  <c r="U31" i="73"/>
  <c r="T19" i="73"/>
  <c r="U24" i="83"/>
  <c r="T12" i="83"/>
  <c r="U26" i="73"/>
  <c r="U18" i="73"/>
  <c r="U31" i="83"/>
  <c r="T31" i="83"/>
  <c r="U23" i="83"/>
  <c r="T15" i="83"/>
  <c r="U15" i="83"/>
  <c r="U20" i="83"/>
  <c r="I8" i="73"/>
  <c r="H35" i="73"/>
  <c r="B43" i="73" s="1"/>
  <c r="U29" i="73"/>
  <c r="T25" i="73"/>
  <c r="U25" i="73"/>
  <c r="T21" i="73"/>
  <c r="U21" i="73"/>
  <c r="T13" i="73"/>
  <c r="T9" i="73"/>
  <c r="T27" i="73"/>
  <c r="U15" i="73"/>
  <c r="T15" i="73"/>
  <c r="U28" i="83"/>
  <c r="T28" i="83"/>
  <c r="U16" i="83"/>
  <c r="T32" i="73"/>
  <c r="U28" i="73"/>
  <c r="T28" i="73"/>
  <c r="T24" i="73"/>
  <c r="U20" i="73"/>
  <c r="T16" i="73"/>
  <c r="T12" i="73"/>
  <c r="U12" i="73"/>
  <c r="I8" i="83"/>
  <c r="U8" i="83" s="1"/>
  <c r="H35" i="83"/>
  <c r="B44" i="83" s="1"/>
  <c r="U29" i="83"/>
  <c r="T21" i="83"/>
  <c r="U17" i="83"/>
  <c r="U13" i="83"/>
  <c r="T8" i="83"/>
  <c r="U8" i="73"/>
  <c r="T8" i="73"/>
  <c r="I9" i="72"/>
  <c r="I10" i="72"/>
  <c r="T10" i="72" s="1"/>
  <c r="I13" i="72"/>
  <c r="T13" i="72" s="1"/>
  <c r="I14" i="72"/>
  <c r="U14" i="72" s="1"/>
  <c r="I15" i="72"/>
  <c r="I16" i="72"/>
  <c r="I17" i="72"/>
  <c r="I18" i="72"/>
  <c r="T18" i="72" s="1"/>
  <c r="I19" i="72"/>
  <c r="I20" i="72"/>
  <c r="I21" i="72"/>
  <c r="I22" i="72"/>
  <c r="I23" i="72"/>
  <c r="I24" i="72"/>
  <c r="I25" i="72"/>
  <c r="I26" i="72"/>
  <c r="I27" i="72"/>
  <c r="T27" i="72" s="1"/>
  <c r="I28" i="72"/>
  <c r="U28" i="72" s="1"/>
  <c r="I29" i="72"/>
  <c r="I30" i="72"/>
  <c r="U30" i="72" s="1"/>
  <c r="I31" i="72"/>
  <c r="I32" i="72"/>
  <c r="I9" i="82"/>
  <c r="I10" i="82"/>
  <c r="I11" i="82"/>
  <c r="I12" i="82"/>
  <c r="I34" i="82" s="1"/>
  <c r="I13" i="82"/>
  <c r="I15" i="82"/>
  <c r="I16" i="82"/>
  <c r="I17" i="82"/>
  <c r="I19" i="82"/>
  <c r="I20" i="82"/>
  <c r="U20" i="82" s="1"/>
  <c r="I21" i="82"/>
  <c r="U21" i="82" s="1"/>
  <c r="I22" i="82"/>
  <c r="I23" i="82"/>
  <c r="I24" i="82"/>
  <c r="I25" i="82"/>
  <c r="T25" i="82" s="1"/>
  <c r="I26" i="82"/>
  <c r="I28" i="82"/>
  <c r="I30" i="82"/>
  <c r="T30" i="82" s="1"/>
  <c r="I31" i="82"/>
  <c r="T31" i="82" s="1"/>
  <c r="I32" i="82"/>
  <c r="U32" i="82" s="1"/>
  <c r="T19" i="82"/>
  <c r="U18" i="72"/>
  <c r="T26" i="82"/>
  <c r="U26" i="82"/>
  <c r="T17" i="82"/>
  <c r="I8" i="82"/>
  <c r="T29" i="72"/>
  <c r="T21" i="72"/>
  <c r="U17" i="72"/>
  <c r="U13" i="72"/>
  <c r="T9" i="82"/>
  <c r="I8" i="72"/>
  <c r="U25" i="82"/>
  <c r="T11" i="82"/>
  <c r="U32" i="72"/>
  <c r="T24" i="72"/>
  <c r="U24" i="72"/>
  <c r="U16" i="72"/>
  <c r="T16" i="72"/>
  <c r="T28" i="82"/>
  <c r="T13" i="82"/>
  <c r="U13" i="82"/>
  <c r="T26" i="72"/>
  <c r="U30" i="82"/>
  <c r="T24" i="82"/>
  <c r="U24" i="82"/>
  <c r="T20" i="82"/>
  <c r="T10" i="82"/>
  <c r="T31" i="72"/>
  <c r="U31" i="72"/>
  <c r="T15" i="72"/>
  <c r="T9" i="72"/>
  <c r="U9" i="72"/>
  <c r="U8" i="82"/>
  <c r="I27" i="82"/>
  <c r="U27" i="82" s="1"/>
  <c r="I29" i="82"/>
  <c r="T29" i="82" s="1"/>
  <c r="U29" i="82"/>
  <c r="T27" i="82"/>
  <c r="I18" i="82"/>
  <c r="U18" i="82" s="1"/>
  <c r="I14" i="82"/>
  <c r="H34" i="82"/>
  <c r="B46" i="82" s="1"/>
  <c r="B47" i="82" s="1"/>
  <c r="T18" i="82"/>
  <c r="I11" i="72"/>
  <c r="T11" i="72" s="1"/>
  <c r="H35" i="72"/>
  <c r="B43" i="72" s="1"/>
  <c r="M20" i="3"/>
  <c r="M13" i="3"/>
  <c r="M29" i="3"/>
  <c r="M15" i="3"/>
  <c r="M31" i="3"/>
  <c r="M17" i="3"/>
  <c r="M19" i="3"/>
  <c r="M9" i="3"/>
  <c r="M25" i="3"/>
  <c r="M10" i="3"/>
  <c r="M14" i="3"/>
  <c r="M18" i="3"/>
  <c r="M22" i="3"/>
  <c r="M26" i="3"/>
  <c r="M30" i="3"/>
  <c r="M11" i="3"/>
  <c r="M27" i="3"/>
  <c r="M28" i="3"/>
  <c r="M21" i="3"/>
  <c r="M23" i="3"/>
  <c r="K35" i="3"/>
  <c r="B44" i="3" s="1"/>
  <c r="U11" i="72"/>
  <c r="T14" i="82"/>
  <c r="U14" i="82"/>
  <c r="AE15" i="63"/>
  <c r="AI15" i="63" s="1"/>
  <c r="AH15" i="63"/>
  <c r="M15" i="2"/>
  <c r="M14" i="2"/>
  <c r="M10" i="2"/>
  <c r="M16" i="2"/>
  <c r="M20" i="2"/>
  <c r="M30" i="2"/>
  <c r="M18" i="2"/>
  <c r="L19" i="62"/>
  <c r="M17" i="2"/>
  <c r="M29" i="2"/>
  <c r="AI29" i="2" s="1"/>
  <c r="AE30" i="63"/>
  <c r="M12" i="2"/>
  <c r="M28" i="2"/>
  <c r="M19" i="2"/>
  <c r="M31" i="2"/>
  <c r="M27" i="2"/>
  <c r="AE23" i="63"/>
  <c r="AH23" i="63" s="1"/>
  <c r="M11" i="2"/>
  <c r="M23" i="2"/>
  <c r="M22" i="2"/>
  <c r="M26" i="2"/>
  <c r="L11" i="62"/>
  <c r="V35" i="63"/>
  <c r="K35" i="2"/>
  <c r="B43" i="2"/>
  <c r="AD19" i="62"/>
  <c r="AD11" i="62"/>
  <c r="AD23" i="62"/>
  <c r="L28" i="62"/>
  <c r="L29" i="62"/>
  <c r="L16" i="62"/>
  <c r="L27" i="62"/>
  <c r="L12" i="62"/>
  <c r="L21" i="62"/>
  <c r="AD21" i="62"/>
  <c r="AG21" i="62" s="1"/>
  <c r="AJ21" i="62" s="1"/>
  <c r="AD25" i="62"/>
  <c r="AG25" i="62" s="1"/>
  <c r="L25" i="62"/>
  <c r="L24" i="62"/>
  <c r="L26" i="62"/>
  <c r="L20" i="62"/>
  <c r="AD17" i="62"/>
  <c r="L17" i="62"/>
  <c r="L10" i="62"/>
  <c r="L32" i="62"/>
  <c r="L18" i="62"/>
  <c r="L13" i="62"/>
  <c r="AJ13" i="62" s="1"/>
  <c r="O24" i="23"/>
  <c r="R24" i="23"/>
  <c r="P24" i="23"/>
  <c r="S24" i="23"/>
  <c r="O11" i="23"/>
  <c r="R11" i="23"/>
  <c r="P11" i="23"/>
  <c r="S11" i="23"/>
  <c r="L8" i="62"/>
  <c r="K35" i="62"/>
  <c r="B44" i="62" s="1"/>
  <c r="AF25" i="62"/>
  <c r="AI25" i="62" s="1"/>
  <c r="AG11" i="62"/>
  <c r="AJ11" i="62"/>
  <c r="AF11" i="62"/>
  <c r="AI11" i="62"/>
  <c r="P19" i="23"/>
  <c r="S19" i="23"/>
  <c r="O19" i="23"/>
  <c r="R19" i="23"/>
  <c r="P23" i="23"/>
  <c r="S23" i="23"/>
  <c r="O23" i="23"/>
  <c r="R23" i="23"/>
  <c r="O20" i="23"/>
  <c r="P20" i="23"/>
  <c r="Y11" i="2"/>
  <c r="AF17" i="62"/>
  <c r="AI17" i="62" s="1"/>
  <c r="AG17" i="62"/>
  <c r="AJ17" i="62" s="1"/>
  <c r="AG19" i="62"/>
  <c r="AJ19" i="62" s="1"/>
  <c r="AF19" i="62"/>
  <c r="AI19" i="62" s="1"/>
  <c r="AD13" i="62"/>
  <c r="AD22" i="62"/>
  <c r="AD31" i="62"/>
  <c r="AD26" i="62"/>
  <c r="AD14" i="62"/>
  <c r="AF14" i="62" s="1"/>
  <c r="AD29" i="62"/>
  <c r="AF29" i="62" s="1"/>
  <c r="AI29" i="62" s="1"/>
  <c r="AD15" i="62"/>
  <c r="AD27" i="62"/>
  <c r="AD30" i="62"/>
  <c r="AD9" i="62"/>
  <c r="Y10" i="2"/>
  <c r="AD10" i="2" s="1"/>
  <c r="AI10" i="2" s="1"/>
  <c r="Z10" i="2"/>
  <c r="AG15" i="62"/>
  <c r="AF15" i="62"/>
  <c r="P15" i="23"/>
  <c r="S15" i="23" s="1"/>
  <c r="O15" i="23"/>
  <c r="R15" i="23" s="1"/>
  <c r="AG14" i="62"/>
  <c r="Z14" i="2"/>
  <c r="Y14" i="2"/>
  <c r="P32" i="23"/>
  <c r="S32" i="23"/>
  <c r="O32" i="23"/>
  <c r="R32" i="23"/>
  <c r="Y9" i="2"/>
  <c r="Z9" i="2"/>
  <c r="AE9" i="2" s="1"/>
  <c r="Y13" i="2"/>
  <c r="Z13" i="2"/>
  <c r="O17" i="23"/>
  <c r="R17" i="23"/>
  <c r="P17" i="23"/>
  <c r="S17" i="23"/>
  <c r="AG22" i="62"/>
  <c r="AF22" i="62"/>
  <c r="P12" i="23"/>
  <c r="O12" i="23"/>
  <c r="AF13" i="62"/>
  <c r="AI13" i="62"/>
  <c r="AG13" i="62"/>
  <c r="AD11" i="2"/>
  <c r="AI11" i="2"/>
  <c r="AB11" i="2"/>
  <c r="AG11" i="2"/>
  <c r="V35" i="62"/>
  <c r="AG29" i="62"/>
  <c r="AJ29" i="62" s="1"/>
  <c r="P8" i="23"/>
  <c r="O8" i="23"/>
  <c r="K35" i="23"/>
  <c r="E43" i="23" s="1"/>
  <c r="H43" i="23" s="1"/>
  <c r="O16" i="23"/>
  <c r="R16" i="23" s="1"/>
  <c r="P16" i="23"/>
  <c r="S16" i="23" s="1"/>
  <c r="Y15" i="2"/>
  <c r="Z15" i="2"/>
  <c r="AF30" i="62"/>
  <c r="AG30" i="62"/>
  <c r="Y22" i="2"/>
  <c r="AD22" i="2" s="1"/>
  <c r="AI22" i="2" s="1"/>
  <c r="O27" i="23"/>
  <c r="R27" i="23"/>
  <c r="P27" i="23"/>
  <c r="S27" i="23"/>
  <c r="O31" i="23"/>
  <c r="R31" i="23"/>
  <c r="P31" i="23"/>
  <c r="S31" i="23"/>
  <c r="Y26" i="2"/>
  <c r="Z26" i="2"/>
  <c r="AC26" i="2" s="1"/>
  <c r="P21" i="23"/>
  <c r="S21" i="23"/>
  <c r="O21" i="23"/>
  <c r="R21" i="23"/>
  <c r="O9" i="23"/>
  <c r="R9" i="23"/>
  <c r="P9" i="23"/>
  <c r="S9" i="23"/>
  <c r="O25" i="23"/>
  <c r="R25" i="23"/>
  <c r="P25" i="23"/>
  <c r="S25" i="23"/>
  <c r="Y25" i="2"/>
  <c r="AD25" i="2" s="1"/>
  <c r="O14" i="23"/>
  <c r="R14" i="23" s="1"/>
  <c r="P14" i="23"/>
  <c r="S14" i="23"/>
  <c r="AG27" i="62"/>
  <c r="AJ27" i="62"/>
  <c r="AF27" i="62"/>
  <c r="AI27" i="62"/>
  <c r="Y24" i="2"/>
  <c r="P30" i="23"/>
  <c r="S30" i="23"/>
  <c r="O30" i="23"/>
  <c r="R30" i="23"/>
  <c r="AG9" i="62"/>
  <c r="AF9" i="62"/>
  <c r="Z19" i="2"/>
  <c r="Y19" i="2"/>
  <c r="AD19" i="2" s="1"/>
  <c r="Z23" i="2"/>
  <c r="Y23" i="2"/>
  <c r="AF26" i="62"/>
  <c r="AG26" i="62"/>
  <c r="AG31" i="62"/>
  <c r="AF31" i="62"/>
  <c r="Z21" i="2"/>
  <c r="Y21" i="2"/>
  <c r="Y29" i="2"/>
  <c r="O22" i="23"/>
  <c r="R22" i="23"/>
  <c r="P22" i="23"/>
  <c r="S22" i="23"/>
  <c r="Y18" i="2"/>
  <c r="Z18" i="2"/>
  <c r="Z17" i="2"/>
  <c r="Y17" i="2"/>
  <c r="P29" i="23"/>
  <c r="S29" i="23" s="1"/>
  <c r="O29" i="23"/>
  <c r="R29" i="23"/>
  <c r="P13" i="23"/>
  <c r="S13" i="23"/>
  <c r="O13" i="23"/>
  <c r="R13" i="23"/>
  <c r="P28" i="23"/>
  <c r="O28" i="23"/>
  <c r="Z16" i="2"/>
  <c r="Y16" i="2"/>
  <c r="AI19" i="2"/>
  <c r="Y28" i="2"/>
  <c r="Z28" i="2"/>
  <c r="AC28" i="2" s="1"/>
  <c r="Y30" i="2"/>
  <c r="AE21" i="2"/>
  <c r="AC21" i="2"/>
  <c r="AE19" i="2"/>
  <c r="AC19" i="2"/>
  <c r="AE26" i="2"/>
  <c r="AD9" i="2"/>
  <c r="AB9" i="2"/>
  <c r="Z12" i="2"/>
  <c r="Y12" i="2"/>
  <c r="AB12" i="2" s="1"/>
  <c r="AG12" i="2" s="1"/>
  <c r="AB21" i="2"/>
  <c r="AD21" i="2"/>
  <c r="AD15" i="2"/>
  <c r="AI15" i="2" s="1"/>
  <c r="AB15" i="2"/>
  <c r="AG15" i="2"/>
  <c r="AE18" i="2"/>
  <c r="AC18" i="2"/>
  <c r="AD26" i="2"/>
  <c r="AI26" i="2" s="1"/>
  <c r="AB26" i="2"/>
  <c r="AG26" i="2" s="1"/>
  <c r="AC13" i="2"/>
  <c r="AE13" i="2"/>
  <c r="AD14" i="2"/>
  <c r="AI14" i="2"/>
  <c r="AB14" i="2"/>
  <c r="AG14" i="2"/>
  <c r="AE10" i="2"/>
  <c r="AC10" i="2"/>
  <c r="Z8" i="2"/>
  <c r="Y8" i="2"/>
  <c r="T35" i="2"/>
  <c r="Y27" i="2"/>
  <c r="Z27" i="2"/>
  <c r="AC27" i="2" s="1"/>
  <c r="Y32" i="2"/>
  <c r="Z32" i="2"/>
  <c r="Y20" i="2"/>
  <c r="Z20" i="2"/>
  <c r="Y31" i="2"/>
  <c r="Z31" i="2"/>
  <c r="AC31" i="2" s="1"/>
  <c r="AC17" i="2"/>
  <c r="AE17" i="2"/>
  <c r="AD18" i="2"/>
  <c r="AI18" i="2" s="1"/>
  <c r="AB18" i="2"/>
  <c r="AG18" i="2"/>
  <c r="AD29" i="2"/>
  <c r="AB29" i="2"/>
  <c r="AG29" i="2"/>
  <c r="AE23" i="2"/>
  <c r="AC23" i="2"/>
  <c r="AB25" i="2"/>
  <c r="AB22" i="2"/>
  <c r="AG22" i="2" s="1"/>
  <c r="AE15" i="2"/>
  <c r="AC15" i="2"/>
  <c r="R8" i="23"/>
  <c r="AD13" i="2"/>
  <c r="AB13" i="2"/>
  <c r="AC14" i="2"/>
  <c r="AE14" i="2"/>
  <c r="AB10" i="2"/>
  <c r="AG10" i="2" s="1"/>
  <c r="T30" i="91"/>
  <c r="T24" i="91"/>
  <c r="S8" i="91"/>
  <c r="T8" i="91"/>
  <c r="AB31" i="2"/>
  <c r="AG31" i="2" s="1"/>
  <c r="AD31" i="2"/>
  <c r="AI31" i="2" s="1"/>
  <c r="AC12" i="2"/>
  <c r="N12" i="2"/>
  <c r="AH12" i="2"/>
  <c r="AE12" i="2"/>
  <c r="AB30" i="2"/>
  <c r="AG30" i="2" s="1"/>
  <c r="AD30" i="2"/>
  <c r="AI30" i="2" s="1"/>
  <c r="T10" i="91"/>
  <c r="S10" i="91"/>
  <c r="T16" i="91"/>
  <c r="S16" i="91"/>
  <c r="T14" i="91"/>
  <c r="T26" i="91"/>
  <c r="S26" i="91"/>
  <c r="S20" i="91"/>
  <c r="T20" i="91"/>
  <c r="S28" i="91"/>
  <c r="X28" i="91" s="1"/>
  <c r="T28" i="91"/>
  <c r="AE20" i="2"/>
  <c r="AC20" i="2"/>
  <c r="N20" i="2"/>
  <c r="AE27" i="2"/>
  <c r="T22" i="91"/>
  <c r="T32" i="91"/>
  <c r="S32" i="91"/>
  <c r="S18" i="91"/>
  <c r="V18" i="91" s="1"/>
  <c r="AA18" i="91" s="1"/>
  <c r="T18" i="91"/>
  <c r="S12" i="91"/>
  <c r="T12" i="91"/>
  <c r="AD20" i="2"/>
  <c r="AB20" i="2"/>
  <c r="AB27" i="2"/>
  <c r="AD27" i="2"/>
  <c r="AB28" i="2"/>
  <c r="AG28" i="2" s="1"/>
  <c r="N29" i="3"/>
  <c r="N26" i="3"/>
  <c r="N20" i="3"/>
  <c r="N14" i="3"/>
  <c r="N19" i="3"/>
  <c r="N23" i="3"/>
  <c r="N27" i="3"/>
  <c r="N13" i="3"/>
  <c r="N17" i="3"/>
  <c r="N25" i="3"/>
  <c r="N18" i="3"/>
  <c r="N15" i="3"/>
  <c r="N31" i="3"/>
  <c r="N10" i="2"/>
  <c r="AJ10" i="2" s="1"/>
  <c r="N14" i="2"/>
  <c r="AH14" i="2" s="1"/>
  <c r="N28" i="3"/>
  <c r="N10" i="3"/>
  <c r="N18" i="2"/>
  <c r="AH18" i="2"/>
  <c r="N22" i="2"/>
  <c r="N26" i="2"/>
  <c r="AH26" i="2" s="1"/>
  <c r="N30" i="2"/>
  <c r="N11" i="3"/>
  <c r="N22" i="3"/>
  <c r="N30" i="3"/>
  <c r="N16" i="2"/>
  <c r="N9" i="3"/>
  <c r="N21" i="3"/>
  <c r="N28" i="2"/>
  <c r="T13" i="91"/>
  <c r="S13" i="91"/>
  <c r="T19" i="91"/>
  <c r="S19" i="91"/>
  <c r="W14" i="91"/>
  <c r="AB14" i="91" s="1"/>
  <c r="Y14" i="91"/>
  <c r="AD14" i="91" s="1"/>
  <c r="Y24" i="91"/>
  <c r="AD24" i="91" s="1"/>
  <c r="W24" i="91"/>
  <c r="AB24" i="91"/>
  <c r="T23" i="91"/>
  <c r="S23" i="91"/>
  <c r="X23" i="91" s="1"/>
  <c r="AC23" i="91" s="1"/>
  <c r="T21" i="91"/>
  <c r="S21" i="91"/>
  <c r="Y18" i="91"/>
  <c r="AD18" i="91" s="1"/>
  <c r="W18" i="91"/>
  <c r="AB18" i="91" s="1"/>
  <c r="V32" i="91"/>
  <c r="AA32" i="91"/>
  <c r="X32" i="91"/>
  <c r="AC32" i="91" s="1"/>
  <c r="W28" i="91"/>
  <c r="AB28" i="91" s="1"/>
  <c r="Y28" i="91"/>
  <c r="AD28" i="91" s="1"/>
  <c r="V26" i="91"/>
  <c r="AA26" i="91"/>
  <c r="X26" i="91"/>
  <c r="AC26" i="91" s="1"/>
  <c r="X10" i="91"/>
  <c r="AC10" i="91" s="1"/>
  <c r="V10" i="91"/>
  <c r="AA10" i="91"/>
  <c r="AJ18" i="2"/>
  <c r="V8" i="91"/>
  <c r="X8" i="91"/>
  <c r="T15" i="91"/>
  <c r="S15" i="91"/>
  <c r="T17" i="91"/>
  <c r="T35" i="91" s="1"/>
  <c r="E55" i="91" s="1"/>
  <c r="H55" i="91" s="1"/>
  <c r="S17" i="91"/>
  <c r="X17" i="91" s="1"/>
  <c r="AC17" i="91" s="1"/>
  <c r="T9" i="91"/>
  <c r="S9" i="91"/>
  <c r="S31" i="91"/>
  <c r="T31" i="91"/>
  <c r="N8" i="3"/>
  <c r="L35" i="3"/>
  <c r="B53" i="3" s="1"/>
  <c r="N11" i="2"/>
  <c r="N15" i="2"/>
  <c r="AH15" i="2" s="1"/>
  <c r="N17" i="2"/>
  <c r="N19" i="2"/>
  <c r="N23" i="2"/>
  <c r="N25" i="2"/>
  <c r="N27" i="2"/>
  <c r="N29" i="2"/>
  <c r="N31" i="2"/>
  <c r="AH31" i="2" s="1"/>
  <c r="AJ14" i="2"/>
  <c r="Y32" i="91"/>
  <c r="AD32" i="91" s="1"/>
  <c r="W32" i="91"/>
  <c r="AB32" i="91" s="1"/>
  <c r="AH28" i="2"/>
  <c r="AC28" i="91"/>
  <c r="V28" i="91"/>
  <c r="AA28" i="91" s="1"/>
  <c r="W26" i="91"/>
  <c r="AB26" i="91" s="1"/>
  <c r="Y26" i="91"/>
  <c r="AD26" i="91" s="1"/>
  <c r="Y10" i="91"/>
  <c r="AD10" i="91"/>
  <c r="W10" i="91"/>
  <c r="AB10" i="91" s="1"/>
  <c r="W30" i="91"/>
  <c r="AB30" i="91" s="1"/>
  <c r="Y30" i="91"/>
  <c r="AD30" i="91" s="1"/>
  <c r="X12" i="91"/>
  <c r="V12" i="91"/>
  <c r="V20" i="91"/>
  <c r="AA20" i="91" s="1"/>
  <c r="X20" i="91"/>
  <c r="AC20" i="91"/>
  <c r="W16" i="91"/>
  <c r="AB16" i="91" s="1"/>
  <c r="Y16" i="91"/>
  <c r="AD16" i="91" s="1"/>
  <c r="Y8" i="91"/>
  <c r="W8" i="91"/>
  <c r="T11" i="91"/>
  <c r="T25" i="91"/>
  <c r="T27" i="91"/>
  <c r="T29" i="91"/>
  <c r="S27" i="91"/>
  <c r="V27" i="91" s="1"/>
  <c r="AA27" i="91" s="1"/>
  <c r="S29" i="91"/>
  <c r="S11" i="91"/>
  <c r="X11" i="91" s="1"/>
  <c r="AC11" i="91" s="1"/>
  <c r="Y12" i="91"/>
  <c r="W12" i="91"/>
  <c r="W22" i="91"/>
  <c r="AB22" i="91"/>
  <c r="Y22" i="91"/>
  <c r="AD22" i="91" s="1"/>
  <c r="W20" i="91"/>
  <c r="AB20" i="91"/>
  <c r="Y20" i="91"/>
  <c r="AD20" i="91" s="1"/>
  <c r="V16" i="91"/>
  <c r="AA16" i="91" s="1"/>
  <c r="X16" i="91"/>
  <c r="AC16" i="91" s="1"/>
  <c r="AJ12" i="2"/>
  <c r="N35" i="91"/>
  <c r="AH27" i="2"/>
  <c r="AH17" i="2"/>
  <c r="AJ17" i="2"/>
  <c r="X27" i="91"/>
  <c r="AC27" i="91"/>
  <c r="AH23" i="2"/>
  <c r="AJ23" i="2"/>
  <c r="AH19" i="2"/>
  <c r="AJ19" i="2"/>
  <c r="W11" i="91"/>
  <c r="AB11" i="91"/>
  <c r="Y11" i="91"/>
  <c r="AD11" i="91" s="1"/>
  <c r="AB8" i="91"/>
  <c r="Y31" i="91"/>
  <c r="AD31" i="91" s="1"/>
  <c r="W31" i="91"/>
  <c r="AB31" i="91" s="1"/>
  <c r="AA8" i="91"/>
  <c r="Y19" i="91"/>
  <c r="AD19" i="91" s="1"/>
  <c r="W19" i="91"/>
  <c r="AB19" i="91"/>
  <c r="W9" i="91"/>
  <c r="AB9" i="91" s="1"/>
  <c r="W15" i="91"/>
  <c r="AB15" i="91" s="1"/>
  <c r="W17" i="91"/>
  <c r="AB17" i="91"/>
  <c r="W23" i="91"/>
  <c r="AB23" i="91" s="1"/>
  <c r="Y9" i="91"/>
  <c r="AD9" i="91" s="1"/>
  <c r="AC8" i="91"/>
  <c r="Y23" i="91"/>
  <c r="AD23" i="91" s="1"/>
  <c r="V19" i="91"/>
  <c r="AA19" i="91"/>
  <c r="X19" i="91"/>
  <c r="AC19" i="91" s="1"/>
  <c r="AJ27" i="2"/>
  <c r="AD8" i="91"/>
  <c r="V31" i="91"/>
  <c r="AA31" i="91" s="1"/>
  <c r="X31" i="91"/>
  <c r="AC31" i="91" s="1"/>
  <c r="V15" i="91"/>
  <c r="AA15" i="91" s="1"/>
  <c r="X15" i="91"/>
  <c r="AC15" i="91"/>
  <c r="Y15" i="91"/>
  <c r="AD15" i="91" s="1"/>
  <c r="L35" i="2"/>
  <c r="B51" i="2" s="1"/>
  <c r="X9" i="91"/>
  <c r="AC9" i="91"/>
  <c r="V9" i="91"/>
  <c r="AA9" i="91" s="1"/>
  <c r="V23" i="91"/>
  <c r="AA23" i="91" s="1"/>
  <c r="L31" i="63"/>
  <c r="L23" i="63"/>
  <c r="L19" i="63"/>
  <c r="L17" i="63"/>
  <c r="L10" i="63"/>
  <c r="L32" i="63"/>
  <c r="L28" i="63"/>
  <c r="L26" i="63"/>
  <c r="L18" i="63"/>
  <c r="L15" i="63"/>
  <c r="L20" i="63"/>
  <c r="L24" i="63"/>
  <c r="L12" i="63"/>
  <c r="L11" i="63"/>
  <c r="L8" i="63"/>
  <c r="O30" i="24"/>
  <c r="R30" i="24"/>
  <c r="P30" i="24"/>
  <c r="S30" i="24" s="1"/>
  <c r="O23" i="24"/>
  <c r="R23" i="24"/>
  <c r="P23" i="24"/>
  <c r="S23" i="24"/>
  <c r="P32" i="24"/>
  <c r="S32" i="24"/>
  <c r="O32" i="24"/>
  <c r="R32" i="24" s="1"/>
  <c r="O12" i="24"/>
  <c r="R12" i="24" s="1"/>
  <c r="P12" i="24"/>
  <c r="S12" i="24" s="1"/>
  <c r="O28" i="24"/>
  <c r="R28" i="24"/>
  <c r="P28" i="24"/>
  <c r="S28" i="24"/>
  <c r="O11" i="24"/>
  <c r="P11" i="24"/>
  <c r="O15" i="24"/>
  <c r="R15" i="24" s="1"/>
  <c r="P15" i="24"/>
  <c r="S15" i="24" s="1"/>
  <c r="P31" i="24"/>
  <c r="S31" i="24" s="1"/>
  <c r="O31" i="24"/>
  <c r="R31" i="24" s="1"/>
  <c r="P24" i="24"/>
  <c r="S24" i="24"/>
  <c r="O24" i="24"/>
  <c r="R24" i="24" s="1"/>
  <c r="O27" i="24"/>
  <c r="P27" i="24"/>
  <c r="O14" i="24"/>
  <c r="R14" i="24" s="1"/>
  <c r="P14" i="24"/>
  <c r="S14" i="24" s="1"/>
  <c r="AK23" i="63"/>
  <c r="P20" i="24"/>
  <c r="S20" i="24"/>
  <c r="O20" i="24"/>
  <c r="R20" i="24" s="1"/>
  <c r="L22" i="63"/>
  <c r="L9" i="63"/>
  <c r="L25" i="63"/>
  <c r="L16" i="63"/>
  <c r="T26" i="92"/>
  <c r="W26" i="92" s="1"/>
  <c r="AB26" i="92" s="1"/>
  <c r="T12" i="92"/>
  <c r="S17" i="92"/>
  <c r="T17" i="92"/>
  <c r="S14" i="92"/>
  <c r="T14" i="92"/>
  <c r="O9" i="24"/>
  <c r="T28" i="92"/>
  <c r="P13" i="24"/>
  <c r="S13" i="24" s="1"/>
  <c r="O13" i="24"/>
  <c r="R13" i="24"/>
  <c r="T19" i="92"/>
  <c r="W19" i="92" s="1"/>
  <c r="AB19" i="92" s="1"/>
  <c r="S19" i="92"/>
  <c r="V19" i="92" s="1"/>
  <c r="AA19" i="92" s="1"/>
  <c r="P22" i="24"/>
  <c r="S22" i="24" s="1"/>
  <c r="O22" i="24"/>
  <c r="R22" i="24" s="1"/>
  <c r="T18" i="92"/>
  <c r="Y18" i="92" s="1"/>
  <c r="AD18" i="92" s="1"/>
  <c r="T11" i="92"/>
  <c r="S11" i="92"/>
  <c r="K35" i="63"/>
  <c r="B44" i="63" s="1"/>
  <c r="T27" i="92"/>
  <c r="W27" i="92" s="1"/>
  <c r="S27" i="92"/>
  <c r="V27" i="92" s="1"/>
  <c r="T8" i="92"/>
  <c r="N35" i="92"/>
  <c r="T20" i="92"/>
  <c r="T32" i="92"/>
  <c r="P21" i="24"/>
  <c r="S21" i="24" s="1"/>
  <c r="O21" i="24"/>
  <c r="R21" i="24" s="1"/>
  <c r="S31" i="92"/>
  <c r="V31" i="92" s="1"/>
  <c r="AA31" i="92" s="1"/>
  <c r="T31" i="92"/>
  <c r="W31" i="92" s="1"/>
  <c r="AB31" i="92" s="1"/>
  <c r="S30" i="92"/>
  <c r="T30" i="92"/>
  <c r="T15" i="92"/>
  <c r="S15" i="92"/>
  <c r="S23" i="92"/>
  <c r="T23" i="92"/>
  <c r="T10" i="92"/>
  <c r="Y10" i="92" s="1"/>
  <c r="AD10" i="92" s="1"/>
  <c r="T24" i="92"/>
  <c r="Y24" i="92" s="1"/>
  <c r="AD24" i="92" s="1"/>
  <c r="P8" i="24"/>
  <c r="O8" i="24"/>
  <c r="K35" i="24"/>
  <c r="E43" i="24" s="1"/>
  <c r="H43" i="24" s="1"/>
  <c r="O29" i="24"/>
  <c r="R29" i="24"/>
  <c r="P29" i="24"/>
  <c r="S29" i="24" s="1"/>
  <c r="O16" i="24"/>
  <c r="R16" i="24" s="1"/>
  <c r="P16" i="24"/>
  <c r="S16" i="24" s="1"/>
  <c r="AJ31" i="3"/>
  <c r="AL31" i="3"/>
  <c r="AJ15" i="3"/>
  <c r="AL15" i="3"/>
  <c r="T22" i="92"/>
  <c r="S22" i="92"/>
  <c r="T25" i="92"/>
  <c r="S25" i="92"/>
  <c r="V15" i="92"/>
  <c r="AA15" i="92"/>
  <c r="X15" i="92"/>
  <c r="AC15" i="92"/>
  <c r="W32" i="92"/>
  <c r="AB32" i="92" s="1"/>
  <c r="Y32" i="92"/>
  <c r="AD32" i="92"/>
  <c r="Y8" i="92"/>
  <c r="W8" i="92"/>
  <c r="AB8" i="92" s="1"/>
  <c r="AK17" i="3"/>
  <c r="T9" i="92"/>
  <c r="S9" i="92"/>
  <c r="V9" i="92" s="1"/>
  <c r="AA9" i="92" s="1"/>
  <c r="T16" i="92"/>
  <c r="S8" i="24"/>
  <c r="X23" i="92"/>
  <c r="AC23" i="92" s="1"/>
  <c r="V23" i="92"/>
  <c r="AA23" i="92" s="1"/>
  <c r="W15" i="92"/>
  <c r="AB15" i="92"/>
  <c r="Y15" i="92"/>
  <c r="AD15" i="92"/>
  <c r="AJ23" i="3"/>
  <c r="AL23" i="3"/>
  <c r="V11" i="92"/>
  <c r="W18" i="92"/>
  <c r="AB18" i="92"/>
  <c r="AJ17" i="3"/>
  <c r="W17" i="92"/>
  <c r="AB17" i="92" s="1"/>
  <c r="V30" i="92"/>
  <c r="X30" i="92"/>
  <c r="T35" i="3"/>
  <c r="W14" i="92"/>
  <c r="AB14" i="92" s="1"/>
  <c r="Y14" i="92"/>
  <c r="AD14" i="92"/>
  <c r="S13" i="92"/>
  <c r="T13" i="92"/>
  <c r="R8" i="24"/>
  <c r="W23" i="92"/>
  <c r="AB23" i="92" s="1"/>
  <c r="Y23" i="92"/>
  <c r="AD23" i="92" s="1"/>
  <c r="X14" i="92"/>
  <c r="AC14" i="92" s="1"/>
  <c r="V14" i="92"/>
  <c r="AA14" i="92" s="1"/>
  <c r="S21" i="92"/>
  <c r="T21" i="92"/>
  <c r="S29" i="92"/>
  <c r="T29" i="92"/>
  <c r="W30" i="92"/>
  <c r="Y30" i="92"/>
  <c r="Y31" i="92"/>
  <c r="AD31" i="92" s="1"/>
  <c r="W11" i="92"/>
  <c r="V17" i="92"/>
  <c r="AA17" i="92"/>
  <c r="Y26" i="92"/>
  <c r="AD26" i="92" s="1"/>
  <c r="V25" i="92"/>
  <c r="AA25" i="92"/>
  <c r="AK9" i="3"/>
  <c r="W25" i="92"/>
  <c r="AB25" i="92"/>
  <c r="AK21" i="3"/>
  <c r="AM21" i="3"/>
  <c r="AK13" i="3"/>
  <c r="V22" i="92"/>
  <c r="AA22" i="92" s="1"/>
  <c r="X22" i="92"/>
  <c r="AC22" i="92"/>
  <c r="AK25" i="3"/>
  <c r="Y16" i="92"/>
  <c r="AD16" i="92" s="1"/>
  <c r="W16" i="92"/>
  <c r="AB16" i="92" s="1"/>
  <c r="AJ21" i="3"/>
  <c r="AD8" i="92"/>
  <c r="W9" i="92"/>
  <c r="AB9" i="92" s="1"/>
  <c r="W22" i="92"/>
  <c r="AB22" i="92"/>
  <c r="Y22" i="92"/>
  <c r="AD22" i="92"/>
  <c r="AJ25" i="3"/>
  <c r="W20" i="92" l="1"/>
  <c r="AB20" i="92" s="1"/>
  <c r="N18" i="112"/>
  <c r="R31" i="113"/>
  <c r="T31" i="113" s="1"/>
  <c r="R12" i="23"/>
  <c r="S12" i="23"/>
  <c r="M18" i="112"/>
  <c r="P18" i="23"/>
  <c r="O18" i="23"/>
  <c r="O31" i="113"/>
  <c r="AE31" i="63"/>
  <c r="U10" i="3"/>
  <c r="J10" i="24"/>
  <c r="G10" i="24"/>
  <c r="Q10" i="63"/>
  <c r="T10" i="63" s="1"/>
  <c r="E35" i="24"/>
  <c r="E10" i="113"/>
  <c r="Q21" i="63"/>
  <c r="T21" i="63" s="1"/>
  <c r="X21" i="63"/>
  <c r="AA21" i="63" s="1"/>
  <c r="AE21" i="63" s="1"/>
  <c r="M21" i="92"/>
  <c r="I21" i="92"/>
  <c r="W10" i="92"/>
  <c r="AB10" i="92" s="1"/>
  <c r="X31" i="92"/>
  <c r="AC31" i="92" s="1"/>
  <c r="V11" i="91"/>
  <c r="Y27" i="91"/>
  <c r="AD27" i="91" s="1"/>
  <c r="W27" i="91"/>
  <c r="AB27" i="91" s="1"/>
  <c r="AD12" i="2"/>
  <c r="AI12" i="2" s="1"/>
  <c r="Y35" i="2"/>
  <c r="E44" i="2" s="1"/>
  <c r="H44" i="2" s="1"/>
  <c r="M9" i="2"/>
  <c r="N9" i="2"/>
  <c r="M8" i="3"/>
  <c r="U18" i="3"/>
  <c r="J18" i="24"/>
  <c r="G18" i="24"/>
  <c r="Q18" i="63"/>
  <c r="T18" i="63" s="1"/>
  <c r="E18" i="113"/>
  <c r="O18" i="24"/>
  <c r="U12" i="72"/>
  <c r="T12" i="72"/>
  <c r="T35" i="92"/>
  <c r="E55" i="92" s="1"/>
  <c r="H55" i="92" s="1"/>
  <c r="W24" i="92"/>
  <c r="AB24" i="92" s="1"/>
  <c r="AB27" i="92"/>
  <c r="O10" i="24"/>
  <c r="W25" i="91"/>
  <c r="AB25" i="91" s="1"/>
  <c r="Y25" i="91"/>
  <c r="AD25" i="91" s="1"/>
  <c r="AI26" i="62"/>
  <c r="AJ26" i="62"/>
  <c r="AA30" i="92"/>
  <c r="AC30" i="92"/>
  <c r="AB30" i="92"/>
  <c r="W35" i="62"/>
  <c r="N10" i="112"/>
  <c r="Q10" i="112" s="1"/>
  <c r="AD10" i="62"/>
  <c r="T15" i="113"/>
  <c r="U15" i="113"/>
  <c r="X15" i="113" s="1"/>
  <c r="B42" i="2"/>
  <c r="B50" i="2" s="1"/>
  <c r="E42" i="2"/>
  <c r="S19" i="112"/>
  <c r="V19" i="112" s="1"/>
  <c r="T19" i="112"/>
  <c r="W19" i="112" s="1"/>
  <c r="U26" i="3"/>
  <c r="Q26" i="63"/>
  <c r="T26" i="63" s="1"/>
  <c r="J26" i="24"/>
  <c r="G26" i="24"/>
  <c r="E26" i="113"/>
  <c r="O26" i="24"/>
  <c r="V21" i="92"/>
  <c r="AB23" i="2"/>
  <c r="AD23" i="2"/>
  <c r="AI23" i="2" s="1"/>
  <c r="AG20" i="2"/>
  <c r="AI20" i="2"/>
  <c r="U19" i="83"/>
  <c r="AL15" i="63"/>
  <c r="AK15" i="63"/>
  <c r="G11" i="113"/>
  <c r="Q13" i="63"/>
  <c r="T13" i="63" s="1"/>
  <c r="X13" i="63"/>
  <c r="AA13" i="63" s="1"/>
  <c r="AE13" i="63" s="1"/>
  <c r="M13" i="92"/>
  <c r="G35" i="92"/>
  <c r="I13" i="92"/>
  <c r="E13" i="113"/>
  <c r="V13" i="92"/>
  <c r="Q29" i="63"/>
  <c r="T29" i="63" s="1"/>
  <c r="X29" i="63"/>
  <c r="AA29" i="63" s="1"/>
  <c r="AE29" i="63" s="1"/>
  <c r="M29" i="92"/>
  <c r="E29" i="113"/>
  <c r="E35" i="113" s="1"/>
  <c r="I29" i="92"/>
  <c r="E21" i="113"/>
  <c r="V29" i="92"/>
  <c r="W21" i="92"/>
  <c r="AD30" i="92"/>
  <c r="AJ15" i="2"/>
  <c r="X18" i="91"/>
  <c r="AC18" i="91" s="1"/>
  <c r="AJ26" i="2"/>
  <c r="AE31" i="2"/>
  <c r="AJ31" i="2" s="1"/>
  <c r="AH20" i="2"/>
  <c r="AJ20" i="2"/>
  <c r="S8" i="23"/>
  <c r="AG23" i="2"/>
  <c r="U14" i="83"/>
  <c r="T14" i="83"/>
  <c r="V17" i="91"/>
  <c r="AA17" i="91" s="1"/>
  <c r="AJ25" i="62"/>
  <c r="U10" i="82"/>
  <c r="U22" i="83"/>
  <c r="T8" i="72"/>
  <c r="AH10" i="2"/>
  <c r="U30" i="73"/>
  <c r="T22" i="73"/>
  <c r="U22" i="73"/>
  <c r="T14" i="73"/>
  <c r="U14" i="73"/>
  <c r="T30" i="83"/>
  <c r="Q22" i="82"/>
  <c r="R22" i="82"/>
  <c r="U22" i="82" s="1"/>
  <c r="U9" i="82"/>
  <c r="R19" i="72"/>
  <c r="U19" i="72" s="1"/>
  <c r="Q19" i="72"/>
  <c r="T19" i="72" s="1"/>
  <c r="R23" i="72"/>
  <c r="U23" i="72" s="1"/>
  <c r="Q23" i="72"/>
  <c r="T23" i="72" s="1"/>
  <c r="R12" i="82"/>
  <c r="Q12" i="82"/>
  <c r="T12" i="82" s="1"/>
  <c r="R16" i="82"/>
  <c r="U16" i="82" s="1"/>
  <c r="Q16" i="82"/>
  <c r="T16" i="82" s="1"/>
  <c r="Y17" i="91"/>
  <c r="AD17" i="91" s="1"/>
  <c r="AG27" i="2"/>
  <c r="AI27" i="2"/>
  <c r="AI25" i="2"/>
  <c r="AG25" i="2"/>
  <c r="AD17" i="2"/>
  <c r="AI17" i="2" s="1"/>
  <c r="AB17" i="2"/>
  <c r="AG17" i="2" s="1"/>
  <c r="U12" i="82"/>
  <c r="T30" i="72"/>
  <c r="O35" i="72"/>
  <c r="E43" i="72" s="1"/>
  <c r="Q30" i="73"/>
  <c r="T30" i="73" s="1"/>
  <c r="R11" i="82"/>
  <c r="U11" i="82" s="1"/>
  <c r="U34" i="82" s="1"/>
  <c r="AC9" i="2"/>
  <c r="Q23" i="73"/>
  <c r="Q25" i="83"/>
  <c r="T25" i="83" s="1"/>
  <c r="Q22" i="83"/>
  <c r="T22" i="83" s="1"/>
  <c r="R22" i="83"/>
  <c r="Q26" i="83"/>
  <c r="R26" i="83"/>
  <c r="U26" i="83" s="1"/>
  <c r="J27" i="63"/>
  <c r="L27" i="63" s="1"/>
  <c r="E35" i="63"/>
  <c r="B40" i="63" s="1"/>
  <c r="AB19" i="2"/>
  <c r="AG19" i="2" s="1"/>
  <c r="I35" i="72"/>
  <c r="T23" i="82"/>
  <c r="U23" i="82"/>
  <c r="U27" i="73"/>
  <c r="O34" i="82"/>
  <c r="E46" i="82" s="1"/>
  <c r="R8" i="72"/>
  <c r="R35" i="73"/>
  <c r="Q10" i="83"/>
  <c r="T10" i="83" s="1"/>
  <c r="R19" i="82"/>
  <c r="U19" i="82" s="1"/>
  <c r="V22" i="2"/>
  <c r="Z22" i="2" s="1"/>
  <c r="O22" i="91"/>
  <c r="S22" i="91" s="1"/>
  <c r="V24" i="2"/>
  <c r="Z24" i="2" s="1"/>
  <c r="O24" i="91"/>
  <c r="S24" i="91" s="1"/>
  <c r="T22" i="82"/>
  <c r="T26" i="83"/>
  <c r="Q17" i="73"/>
  <c r="T17" i="73" s="1"/>
  <c r="R17" i="73"/>
  <c r="O27" i="113"/>
  <c r="R27" i="113" s="1"/>
  <c r="T27" i="113" s="1"/>
  <c r="O25" i="91"/>
  <c r="S25" i="91" s="1"/>
  <c r="V25" i="2"/>
  <c r="Z25" i="2" s="1"/>
  <c r="AF21" i="62"/>
  <c r="AI21" i="62" s="1"/>
  <c r="AI23" i="63"/>
  <c r="AL23" i="63" s="1"/>
  <c r="U31" i="82"/>
  <c r="U17" i="73"/>
  <c r="Q8" i="82"/>
  <c r="Q20" i="72"/>
  <c r="Q35" i="72" s="1"/>
  <c r="R20" i="72"/>
  <c r="U20" i="72" s="1"/>
  <c r="O35" i="83"/>
  <c r="U10" i="72"/>
  <c r="T28" i="72"/>
  <c r="T32" i="82"/>
  <c r="T18" i="83"/>
  <c r="U10" i="73"/>
  <c r="U35" i="73" s="1"/>
  <c r="Q22" i="72"/>
  <c r="T22" i="72" s="1"/>
  <c r="R22" i="72"/>
  <c r="U22" i="72" s="1"/>
  <c r="W27" i="112"/>
  <c r="V27" i="112"/>
  <c r="O20" i="112"/>
  <c r="Q20" i="112" s="1"/>
  <c r="I35" i="73"/>
  <c r="T23" i="73"/>
  <c r="Q15" i="82"/>
  <c r="T15" i="82" s="1"/>
  <c r="R15" i="82"/>
  <c r="U15" i="82" s="1"/>
  <c r="Q35" i="83"/>
  <c r="R21" i="83"/>
  <c r="U21" i="83" s="1"/>
  <c r="N35" i="113"/>
  <c r="G11" i="112"/>
  <c r="K11" i="112"/>
  <c r="U35" i="2"/>
  <c r="K8" i="113"/>
  <c r="U31" i="113"/>
  <c r="I35" i="92"/>
  <c r="G9" i="83"/>
  <c r="D35" i="83"/>
  <c r="B41" i="83" s="1"/>
  <c r="B45" i="83" s="1"/>
  <c r="G13" i="113"/>
  <c r="G21" i="113"/>
  <c r="O13" i="113"/>
  <c r="R13" i="113" s="1"/>
  <c r="K32" i="112"/>
  <c r="K9" i="112"/>
  <c r="G35" i="72"/>
  <c r="O11" i="112"/>
  <c r="Q11" i="112" s="1"/>
  <c r="V11" i="2"/>
  <c r="R27" i="72"/>
  <c r="U27" i="72" s="1"/>
  <c r="R26" i="72"/>
  <c r="U26" i="72" s="1"/>
  <c r="C35" i="112"/>
  <c r="V30" i="2"/>
  <c r="Z30" i="2" s="1"/>
  <c r="O30" i="91"/>
  <c r="H43" i="3"/>
  <c r="E54" i="3"/>
  <c r="H54" i="3" s="1"/>
  <c r="H41" i="2"/>
  <c r="E51" i="2"/>
  <c r="H51" i="2" s="1"/>
  <c r="Q11" i="73"/>
  <c r="T11" i="73" s="1"/>
  <c r="T35" i="73" s="1"/>
  <c r="R30" i="83"/>
  <c r="U30" i="83" s="1"/>
  <c r="O29" i="113"/>
  <c r="R29" i="113" s="1"/>
  <c r="O30" i="113"/>
  <c r="R30" i="113" s="1"/>
  <c r="W15" i="113"/>
  <c r="J9" i="62"/>
  <c r="E35" i="62"/>
  <c r="B40" i="62" s="1"/>
  <c r="Q29" i="112"/>
  <c r="K16" i="112"/>
  <c r="G24" i="112"/>
  <c r="T23" i="113"/>
  <c r="K23" i="113"/>
  <c r="U23" i="113" s="1"/>
  <c r="G23" i="113"/>
  <c r="V29" i="2"/>
  <c r="Z29" i="2" s="1"/>
  <c r="O29" i="112"/>
  <c r="O18" i="112"/>
  <c r="G13" i="112"/>
  <c r="O14" i="91"/>
  <c r="S14" i="91" s="1"/>
  <c r="O14" i="112"/>
  <c r="Q14" i="112" s="1"/>
  <c r="G20" i="23"/>
  <c r="G35" i="23" s="1"/>
  <c r="G18" i="23"/>
  <c r="D35" i="72"/>
  <c r="B40" i="72" s="1"/>
  <c r="B44" i="72" s="1"/>
  <c r="J22" i="62"/>
  <c r="L22" i="62" s="1"/>
  <c r="J23" i="62"/>
  <c r="L23" i="62" s="1"/>
  <c r="J30" i="63"/>
  <c r="L30" i="63" s="1"/>
  <c r="M17" i="112"/>
  <c r="S17" i="112" s="1"/>
  <c r="V17" i="112" s="1"/>
  <c r="M12" i="112"/>
  <c r="N34" i="82"/>
  <c r="Q28" i="62"/>
  <c r="T28" i="62" s="1"/>
  <c r="X28" i="62"/>
  <c r="AA28" i="62" s="1"/>
  <c r="AD28" i="62" s="1"/>
  <c r="S28" i="2"/>
  <c r="J13" i="2"/>
  <c r="G28" i="23"/>
  <c r="J32" i="3"/>
  <c r="J14" i="62"/>
  <c r="L14" i="62" s="1"/>
  <c r="K11" i="83"/>
  <c r="G11" i="83"/>
  <c r="I11" i="83" s="1"/>
  <c r="K27" i="83"/>
  <c r="G27" i="83"/>
  <c r="I27" i="83" s="1"/>
  <c r="J21" i="2"/>
  <c r="G31" i="113"/>
  <c r="J13" i="63"/>
  <c r="L13" i="63" s="1"/>
  <c r="L35" i="63" s="1"/>
  <c r="J15" i="62"/>
  <c r="L15" i="62" s="1"/>
  <c r="K35" i="91"/>
  <c r="E40" i="91" s="1"/>
  <c r="J8" i="2"/>
  <c r="I12" i="91"/>
  <c r="J16" i="3"/>
  <c r="J12" i="3"/>
  <c r="J35" i="3" s="1"/>
  <c r="D35" i="73"/>
  <c r="B40" i="73" s="1"/>
  <c r="B44" i="73" s="1"/>
  <c r="H41" i="92"/>
  <c r="E52" i="92"/>
  <c r="H52" i="92" s="1"/>
  <c r="E23" i="112"/>
  <c r="G23" i="112" s="1"/>
  <c r="I16" i="113"/>
  <c r="P35" i="3"/>
  <c r="X16" i="3"/>
  <c r="X26" i="3"/>
  <c r="AF26" i="63" s="1"/>
  <c r="AD26" i="63" s="1"/>
  <c r="L26" i="113"/>
  <c r="AC12" i="62"/>
  <c r="S35" i="62"/>
  <c r="AC23" i="62"/>
  <c r="Y35" i="62"/>
  <c r="L8" i="113"/>
  <c r="D35" i="2"/>
  <c r="B39" i="2" s="1"/>
  <c r="M23" i="112"/>
  <c r="N35" i="72"/>
  <c r="N8" i="112"/>
  <c r="D35" i="23"/>
  <c r="B41" i="23" s="1"/>
  <c r="B43" i="23" s="1"/>
  <c r="D12" i="112"/>
  <c r="G12" i="112" s="1"/>
  <c r="C35" i="24"/>
  <c r="B41" i="24" s="1"/>
  <c r="G11" i="24"/>
  <c r="C27" i="113"/>
  <c r="G27" i="113" s="1"/>
  <c r="G27" i="24"/>
  <c r="D9" i="112"/>
  <c r="D35" i="112" s="1"/>
  <c r="B41" i="112" s="1"/>
  <c r="G35" i="2"/>
  <c r="B41" i="2" s="1"/>
  <c r="B49" i="2" s="1"/>
  <c r="C8" i="113"/>
  <c r="F35" i="3"/>
  <c r="B42" i="3" s="1"/>
  <c r="J24" i="3"/>
  <c r="C24" i="113"/>
  <c r="J30" i="62"/>
  <c r="L30" i="62" s="1"/>
  <c r="D30" i="112"/>
  <c r="G30" i="112" s="1"/>
  <c r="I11" i="92"/>
  <c r="E35" i="92"/>
  <c r="B41" i="92" s="1"/>
  <c r="E35" i="23"/>
  <c r="B42" i="23" s="1"/>
  <c r="E10" i="112"/>
  <c r="G10" i="112" s="1"/>
  <c r="L10" i="23"/>
  <c r="L26" i="23"/>
  <c r="E26" i="112"/>
  <c r="G26" i="112" s="1"/>
  <c r="D9" i="113"/>
  <c r="D35" i="24"/>
  <c r="B42" i="24" s="1"/>
  <c r="G9" i="24"/>
  <c r="G17" i="24"/>
  <c r="D17" i="113"/>
  <c r="L17" i="24"/>
  <c r="D25" i="113"/>
  <c r="G25" i="24"/>
  <c r="L25" i="24"/>
  <c r="X8" i="2"/>
  <c r="AD8" i="2" s="1"/>
  <c r="E8" i="112"/>
  <c r="E16" i="112"/>
  <c r="G16" i="112" s="1"/>
  <c r="X16" i="2"/>
  <c r="E24" i="112"/>
  <c r="X24" i="2"/>
  <c r="M24" i="112" s="1"/>
  <c r="E32" i="112"/>
  <c r="G32" i="112" s="1"/>
  <c r="X32" i="2"/>
  <c r="AC32" i="2" s="1"/>
  <c r="AB15" i="62"/>
  <c r="G35" i="62"/>
  <c r="AB31" i="62"/>
  <c r="M31" i="112" s="1"/>
  <c r="E31" i="112"/>
  <c r="G31" i="112" s="1"/>
  <c r="AC14" i="63"/>
  <c r="AC35" i="63" s="1"/>
  <c r="E43" i="63" s="1"/>
  <c r="H43" i="63" s="1"/>
  <c r="D14" i="113"/>
  <c r="J14" i="63"/>
  <c r="L14" i="63" s="1"/>
  <c r="G35" i="63"/>
  <c r="B43" i="63" s="1"/>
  <c r="AC22" i="63"/>
  <c r="D22" i="113"/>
  <c r="AC30" i="63"/>
  <c r="D30" i="113"/>
  <c r="E35" i="91"/>
  <c r="R13" i="91"/>
  <c r="R35" i="91" s="1"/>
  <c r="E21" i="112"/>
  <c r="G21" i="112" s="1"/>
  <c r="R21" i="91"/>
  <c r="E29" i="112"/>
  <c r="G29" i="112" s="1"/>
  <c r="R29" i="91"/>
  <c r="D12" i="113"/>
  <c r="R12" i="92"/>
  <c r="W12" i="92" s="1"/>
  <c r="AB12" i="92" s="1"/>
  <c r="F35" i="92"/>
  <c r="B42" i="92" s="1"/>
  <c r="D20" i="113"/>
  <c r="R20" i="92"/>
  <c r="Y20" i="92" s="1"/>
  <c r="AD20" i="92" s="1"/>
  <c r="R28" i="92"/>
  <c r="D28" i="113"/>
  <c r="I28" i="92"/>
  <c r="I35" i="24"/>
  <c r="E40" i="24" s="1"/>
  <c r="H40" i="24" s="1"/>
  <c r="I10" i="113"/>
  <c r="Q35" i="2"/>
  <c r="E40" i="2" s="1"/>
  <c r="I8" i="112"/>
  <c r="R35" i="62"/>
  <c r="E41" i="62" s="1"/>
  <c r="I14" i="112"/>
  <c r="Z35" i="62"/>
  <c r="I13" i="112"/>
  <c r="I12" i="113"/>
  <c r="N35" i="63"/>
  <c r="I11" i="113"/>
  <c r="R35" i="63"/>
  <c r="K35" i="92"/>
  <c r="E40" i="92" s="1"/>
  <c r="I8" i="113"/>
  <c r="I35" i="113" s="1"/>
  <c r="Q12" i="62"/>
  <c r="T12" i="62" s="1"/>
  <c r="O12" i="112" s="1"/>
  <c r="Q12" i="112" s="1"/>
  <c r="X12" i="62"/>
  <c r="AA12" i="62" s="1"/>
  <c r="AD12" i="62" s="1"/>
  <c r="N35" i="73"/>
  <c r="J24" i="2"/>
  <c r="J32" i="2"/>
  <c r="I11" i="112"/>
  <c r="S11" i="112" s="1"/>
  <c r="J31" i="62"/>
  <c r="L31" i="62" s="1"/>
  <c r="M25" i="112"/>
  <c r="M20" i="112"/>
  <c r="M15" i="112"/>
  <c r="H44" i="3"/>
  <c r="H55" i="3" s="1"/>
  <c r="E55" i="3"/>
  <c r="D14" i="112"/>
  <c r="G14" i="112" s="1"/>
  <c r="H42" i="3"/>
  <c r="E53" i="3"/>
  <c r="H53" i="3" s="1"/>
  <c r="H41" i="91"/>
  <c r="E52" i="91"/>
  <c r="H52" i="91" s="1"/>
  <c r="AG31" i="3"/>
  <c r="AM31" i="3" s="1"/>
  <c r="AE31" i="3"/>
  <c r="AK31" i="3" s="1"/>
  <c r="D8" i="113"/>
  <c r="L19" i="24"/>
  <c r="AG17" i="3"/>
  <c r="AM17" i="3" s="1"/>
  <c r="Q8" i="62"/>
  <c r="X20" i="62"/>
  <c r="AA20" i="62" s="1"/>
  <c r="AD20" i="62" s="1"/>
  <c r="X10" i="63"/>
  <c r="AA10" i="63" s="1"/>
  <c r="AE10" i="63" s="1"/>
  <c r="X18" i="63"/>
  <c r="AA18" i="63" s="1"/>
  <c r="X26" i="63"/>
  <c r="AA26" i="63" s="1"/>
  <c r="AE26" i="63" s="1"/>
  <c r="Z14" i="3"/>
  <c r="AD14" i="3" s="1"/>
  <c r="AJ14" i="3" s="1"/>
  <c r="Z22" i="3"/>
  <c r="AD22" i="3" s="1"/>
  <c r="AJ22" i="3" s="1"/>
  <c r="Z30" i="3"/>
  <c r="AD30" i="3" s="1"/>
  <c r="AJ30" i="3" s="1"/>
  <c r="X18" i="62"/>
  <c r="AA18" i="62" s="1"/>
  <c r="AD18" i="62" s="1"/>
  <c r="U8" i="3"/>
  <c r="Q8" i="63"/>
  <c r="X11" i="63"/>
  <c r="AA11" i="63" s="1"/>
  <c r="M11" i="92"/>
  <c r="U16" i="3"/>
  <c r="Q16" i="63"/>
  <c r="T16" i="63" s="1"/>
  <c r="X19" i="63"/>
  <c r="AA19" i="63" s="1"/>
  <c r="M19" i="92"/>
  <c r="U24" i="3"/>
  <c r="Q24" i="63"/>
  <c r="T24" i="63" s="1"/>
  <c r="X27" i="63"/>
  <c r="AA27" i="63" s="1"/>
  <c r="AE27" i="63" s="1"/>
  <c r="M27" i="92"/>
  <c r="U32" i="3"/>
  <c r="Q32" i="63"/>
  <c r="T32" i="63" s="1"/>
  <c r="AB25" i="62"/>
  <c r="AB9" i="62"/>
  <c r="AG13" i="3"/>
  <c r="AM13" i="3" s="1"/>
  <c r="AG23" i="3"/>
  <c r="AM23" i="3" s="1"/>
  <c r="AE23" i="3"/>
  <c r="AK23" i="3" s="1"/>
  <c r="AD27" i="3"/>
  <c r="AJ27" i="3" s="1"/>
  <c r="AB29" i="63"/>
  <c r="AB35" i="63" s="1"/>
  <c r="E44" i="63" s="1"/>
  <c r="H44" i="63" s="1"/>
  <c r="X16" i="62"/>
  <c r="AA16" i="62" s="1"/>
  <c r="AD16" i="62" s="1"/>
  <c r="X32" i="62"/>
  <c r="AA32" i="62" s="1"/>
  <c r="Q14" i="63"/>
  <c r="T14" i="63" s="1"/>
  <c r="AE14" i="63" s="1"/>
  <c r="Q22" i="63"/>
  <c r="T22" i="63" s="1"/>
  <c r="AE22" i="63" s="1"/>
  <c r="X16" i="63"/>
  <c r="AA16" i="63" s="1"/>
  <c r="X24" i="63"/>
  <c r="AA24" i="63" s="1"/>
  <c r="X32" i="63"/>
  <c r="AA32" i="63" s="1"/>
  <c r="D11" i="113"/>
  <c r="M11" i="113" s="1"/>
  <c r="AG9" i="3"/>
  <c r="AM9" i="3" s="1"/>
  <c r="Z13" i="3"/>
  <c r="AD13" i="3" s="1"/>
  <c r="AJ13" i="3" s="1"/>
  <c r="AE29" i="3"/>
  <c r="AK29" i="3" s="1"/>
  <c r="M9" i="92"/>
  <c r="X9" i="63"/>
  <c r="AA9" i="63" s="1"/>
  <c r="Q9" i="63"/>
  <c r="T9" i="63" s="1"/>
  <c r="O9" i="113" s="1"/>
  <c r="R9" i="113" s="1"/>
  <c r="M17" i="92"/>
  <c r="X17" i="63"/>
  <c r="AA17" i="63" s="1"/>
  <c r="Q17" i="63"/>
  <c r="T17" i="63" s="1"/>
  <c r="O17" i="113" s="1"/>
  <c r="R17" i="113" s="1"/>
  <c r="M25" i="92"/>
  <c r="X25" i="63"/>
  <c r="AA25" i="63" s="1"/>
  <c r="Q25" i="63"/>
  <c r="T25" i="63" s="1"/>
  <c r="O25" i="113" s="1"/>
  <c r="R25" i="113" s="1"/>
  <c r="D24" i="113"/>
  <c r="M24" i="113" s="1"/>
  <c r="AC16" i="63"/>
  <c r="Z9" i="3"/>
  <c r="AD9" i="3" s="1"/>
  <c r="AJ9" i="3" s="1"/>
  <c r="AG29" i="3"/>
  <c r="AM29" i="3" s="1"/>
  <c r="V14" i="3"/>
  <c r="AA14" i="3" s="1"/>
  <c r="V22" i="3"/>
  <c r="O22" i="113" s="1"/>
  <c r="R22" i="113" s="1"/>
  <c r="V30" i="3"/>
  <c r="AA30" i="3" s="1"/>
  <c r="B43" i="3"/>
  <c r="B52" i="3" s="1"/>
  <c r="AG15" i="3"/>
  <c r="AM15" i="3" s="1"/>
  <c r="AE15" i="3"/>
  <c r="AK15" i="3" s="1"/>
  <c r="AF22" i="3"/>
  <c r="AL22" i="3" s="1"/>
  <c r="AG25" i="3"/>
  <c r="AM25" i="3" s="1"/>
  <c r="AD29" i="3"/>
  <c r="AJ29" i="3" s="1"/>
  <c r="Q12" i="63"/>
  <c r="T12" i="63" s="1"/>
  <c r="U12" i="3"/>
  <c r="Q20" i="63"/>
  <c r="T20" i="63" s="1"/>
  <c r="U20" i="3"/>
  <c r="Q28" i="63"/>
  <c r="T28" i="63" s="1"/>
  <c r="U28" i="3"/>
  <c r="Z11" i="3"/>
  <c r="AF11" i="3" s="1"/>
  <c r="AL11" i="3" s="1"/>
  <c r="AA11" i="3"/>
  <c r="Z19" i="3"/>
  <c r="AF19" i="3" s="1"/>
  <c r="AL19" i="3" s="1"/>
  <c r="AA19" i="3"/>
  <c r="Z27" i="3"/>
  <c r="AF27" i="3" s="1"/>
  <c r="AL27" i="3" s="1"/>
  <c r="AA27" i="3"/>
  <c r="X8" i="62"/>
  <c r="X24" i="62"/>
  <c r="AA24" i="62" s="1"/>
  <c r="AD24" i="62" s="1"/>
  <c r="X12" i="63"/>
  <c r="AA12" i="63" s="1"/>
  <c r="AE12" i="63" s="1"/>
  <c r="X20" i="63"/>
  <c r="AA20" i="63" s="1"/>
  <c r="X28" i="63"/>
  <c r="AA28" i="63" s="1"/>
  <c r="AE28" i="63" s="1"/>
  <c r="AF9" i="3"/>
  <c r="AL9" i="3" s="1"/>
  <c r="AF13" i="3"/>
  <c r="AL13" i="3" s="1"/>
  <c r="AF17" i="3"/>
  <c r="AL17" i="3" s="1"/>
  <c r="AF21" i="3"/>
  <c r="AL21" i="3" s="1"/>
  <c r="AF25" i="3"/>
  <c r="AL25" i="3" s="1"/>
  <c r="AF29" i="3"/>
  <c r="AL29" i="3" s="1"/>
  <c r="X8" i="63"/>
  <c r="AE30" i="3" l="1"/>
  <c r="AK30" i="3" s="1"/>
  <c r="AG30" i="3"/>
  <c r="AM30" i="3" s="1"/>
  <c r="AG18" i="62"/>
  <c r="AJ18" i="62" s="1"/>
  <c r="AF18" i="62"/>
  <c r="AI18" i="62" s="1"/>
  <c r="H41" i="62"/>
  <c r="E39" i="113"/>
  <c r="B40" i="113"/>
  <c r="AE14" i="3"/>
  <c r="AK14" i="3" s="1"/>
  <c r="AG14" i="3"/>
  <c r="AM14" i="3" s="1"/>
  <c r="W31" i="112"/>
  <c r="V31" i="112"/>
  <c r="W10" i="112"/>
  <c r="T31" i="112"/>
  <c r="S31" i="112"/>
  <c r="AI31" i="63"/>
  <c r="AL31" i="63" s="1"/>
  <c r="AH31" i="63"/>
  <c r="AK31" i="63" s="1"/>
  <c r="AE16" i="63"/>
  <c r="AB35" i="62"/>
  <c r="K19" i="113"/>
  <c r="U19" i="113" s="1"/>
  <c r="X19" i="113" s="1"/>
  <c r="X19" i="92"/>
  <c r="AC19" i="92" s="1"/>
  <c r="Y19" i="92"/>
  <c r="AD19" i="92" s="1"/>
  <c r="AG20" i="62"/>
  <c r="AJ20" i="62" s="1"/>
  <c r="AF20" i="62"/>
  <c r="AI20" i="62" s="1"/>
  <c r="M8" i="113"/>
  <c r="D35" i="113"/>
  <c r="B42" i="113" s="1"/>
  <c r="M24" i="2"/>
  <c r="N24" i="2"/>
  <c r="E41" i="63"/>
  <c r="H41" i="63" s="1"/>
  <c r="E50" i="2"/>
  <c r="H40" i="2"/>
  <c r="E46" i="2"/>
  <c r="E42" i="91"/>
  <c r="B42" i="91"/>
  <c r="B43" i="91" s="1"/>
  <c r="O17" i="24"/>
  <c r="O35" i="24" s="1"/>
  <c r="P17" i="24"/>
  <c r="L35" i="23"/>
  <c r="M10" i="112"/>
  <c r="O10" i="23"/>
  <c r="P10" i="23"/>
  <c r="M24" i="3"/>
  <c r="N24" i="3"/>
  <c r="L35" i="113"/>
  <c r="E41" i="113" s="1"/>
  <c r="H41" i="113" s="1"/>
  <c r="T11" i="83"/>
  <c r="AF28" i="62"/>
  <c r="AI28" i="62" s="1"/>
  <c r="AG28" i="62"/>
  <c r="AJ28" i="62" s="1"/>
  <c r="V11" i="112"/>
  <c r="X25" i="91"/>
  <c r="AC25" i="91" s="1"/>
  <c r="V25" i="91"/>
  <c r="AA25" i="91" s="1"/>
  <c r="AC22" i="2"/>
  <c r="AH22" i="2" s="1"/>
  <c r="AE22" i="2"/>
  <c r="AJ22" i="2" s="1"/>
  <c r="AL27" i="63"/>
  <c r="T20" i="72"/>
  <c r="T35" i="72"/>
  <c r="Y12" i="92"/>
  <c r="AD12" i="92" s="1"/>
  <c r="AA13" i="92"/>
  <c r="AB13" i="92"/>
  <c r="Z26" i="3"/>
  <c r="V26" i="3"/>
  <c r="AA26" i="3" s="1"/>
  <c r="O26" i="92"/>
  <c r="S26" i="92" s="1"/>
  <c r="O26" i="113"/>
  <c r="R26" i="113" s="1"/>
  <c r="AA11" i="91"/>
  <c r="AA21" i="92"/>
  <c r="AC21" i="92"/>
  <c r="AB21" i="92"/>
  <c r="J35" i="24"/>
  <c r="H39" i="24" s="1"/>
  <c r="K10" i="113"/>
  <c r="P10" i="24"/>
  <c r="M12" i="113"/>
  <c r="G12" i="113"/>
  <c r="C35" i="113"/>
  <c r="B41" i="113" s="1"/>
  <c r="G8" i="113"/>
  <c r="AG19" i="3"/>
  <c r="AM19" i="3" s="1"/>
  <c r="AE19" i="3"/>
  <c r="AK19" i="3" s="1"/>
  <c r="Z28" i="3"/>
  <c r="V28" i="3"/>
  <c r="AA28" i="3" s="1"/>
  <c r="O28" i="92"/>
  <c r="S28" i="92" s="1"/>
  <c r="O28" i="113"/>
  <c r="R28" i="113" s="1"/>
  <c r="AE9" i="63"/>
  <c r="AF30" i="3"/>
  <c r="AL30" i="3" s="1"/>
  <c r="O19" i="113"/>
  <c r="R19" i="113" s="1"/>
  <c r="T19" i="113" s="1"/>
  <c r="W19" i="113" s="1"/>
  <c r="AE19" i="63"/>
  <c r="Q35" i="62"/>
  <c r="T8" i="62"/>
  <c r="M30" i="113"/>
  <c r="T30" i="113" s="1"/>
  <c r="G30" i="113"/>
  <c r="AC16" i="2"/>
  <c r="AH16" i="2" s="1"/>
  <c r="AE16" i="2"/>
  <c r="AJ16" i="2" s="1"/>
  <c r="AB16" i="2"/>
  <c r="AG16" i="2" s="1"/>
  <c r="M17" i="113"/>
  <c r="T17" i="113" s="1"/>
  <c r="G17" i="113"/>
  <c r="B51" i="3"/>
  <c r="B54" i="3" s="1"/>
  <c r="B45" i="3"/>
  <c r="M32" i="112"/>
  <c r="M9" i="112"/>
  <c r="S9" i="112" s="1"/>
  <c r="K11" i="113"/>
  <c r="K35" i="83"/>
  <c r="H41" i="83" s="1"/>
  <c r="R11" i="83"/>
  <c r="O28" i="112"/>
  <c r="Q28" i="112" s="1"/>
  <c r="S28" i="112" s="1"/>
  <c r="V28" i="112" s="1"/>
  <c r="R18" i="23"/>
  <c r="S18" i="23"/>
  <c r="R35" i="92"/>
  <c r="E42" i="92" s="1"/>
  <c r="G9" i="112"/>
  <c r="O14" i="113"/>
  <c r="R14" i="113" s="1"/>
  <c r="G35" i="83"/>
  <c r="I9" i="83"/>
  <c r="Q34" i="82"/>
  <c r="T8" i="82"/>
  <c r="T34" i="82" s="1"/>
  <c r="O25" i="112"/>
  <c r="Q25" i="112" s="1"/>
  <c r="AA29" i="92"/>
  <c r="AB29" i="92"/>
  <c r="B40" i="92"/>
  <c r="B43" i="92" s="1"/>
  <c r="E39" i="92"/>
  <c r="G18" i="113"/>
  <c r="AJ9" i="2"/>
  <c r="AH9" i="2"/>
  <c r="K21" i="113"/>
  <c r="U21" i="113" s="1"/>
  <c r="X21" i="92"/>
  <c r="Y21" i="92"/>
  <c r="AD21" i="92" s="1"/>
  <c r="Z10" i="3"/>
  <c r="V10" i="3"/>
  <c r="AA10" i="3" s="1"/>
  <c r="O10" i="92"/>
  <c r="S10" i="92" s="1"/>
  <c r="K9" i="113"/>
  <c r="M35" i="92"/>
  <c r="H39" i="92" s="1"/>
  <c r="Y9" i="92"/>
  <c r="X9" i="92"/>
  <c r="AC9" i="92" s="1"/>
  <c r="R17" i="24"/>
  <c r="S17" i="24"/>
  <c r="R34" i="82"/>
  <c r="K13" i="113"/>
  <c r="U13" i="113" s="1"/>
  <c r="X13" i="92"/>
  <c r="AC13" i="92" s="1"/>
  <c r="Y13" i="92"/>
  <c r="AD13" i="92" s="1"/>
  <c r="AA8" i="63"/>
  <c r="X35" i="63"/>
  <c r="AE20" i="63"/>
  <c r="AG11" i="3"/>
  <c r="AM11" i="3" s="1"/>
  <c r="AE11" i="3"/>
  <c r="AK11" i="3" s="1"/>
  <c r="Z20" i="3"/>
  <c r="V20" i="3"/>
  <c r="AA20" i="3" s="1"/>
  <c r="O20" i="92"/>
  <c r="S20" i="92" s="1"/>
  <c r="AE25" i="63"/>
  <c r="AH14" i="63"/>
  <c r="AI14" i="63"/>
  <c r="Z32" i="3"/>
  <c r="V32" i="3"/>
  <c r="AA32" i="3" s="1"/>
  <c r="O32" i="92"/>
  <c r="S32" i="92" s="1"/>
  <c r="Z16" i="3"/>
  <c r="V16" i="3"/>
  <c r="AA16" i="3" s="1"/>
  <c r="O16" i="92"/>
  <c r="S16" i="92" s="1"/>
  <c r="AA22" i="3"/>
  <c r="M29" i="112"/>
  <c r="V29" i="91"/>
  <c r="AA29" i="91" s="1"/>
  <c r="X29" i="91"/>
  <c r="AC29" i="91" s="1"/>
  <c r="W29" i="91"/>
  <c r="AB29" i="91" s="1"/>
  <c r="M22" i="113"/>
  <c r="T22" i="113" s="1"/>
  <c r="G22" i="113"/>
  <c r="B43" i="62"/>
  <c r="B45" i="62" s="1"/>
  <c r="E43" i="62"/>
  <c r="H43" i="62" s="1"/>
  <c r="E35" i="112"/>
  <c r="B42" i="112" s="1"/>
  <c r="G35" i="24"/>
  <c r="R9" i="24"/>
  <c r="S9" i="24"/>
  <c r="N35" i="112"/>
  <c r="L23" i="112"/>
  <c r="AF23" i="62"/>
  <c r="AI23" i="62" s="1"/>
  <c r="AG23" i="62"/>
  <c r="E41" i="3"/>
  <c r="E47" i="3"/>
  <c r="M12" i="3"/>
  <c r="N12" i="3"/>
  <c r="J35" i="63"/>
  <c r="AE30" i="2"/>
  <c r="AJ30" i="2" s="1"/>
  <c r="AC30" i="2"/>
  <c r="AH30" i="2" s="1"/>
  <c r="V35" i="2"/>
  <c r="Z11" i="2"/>
  <c r="O16" i="112"/>
  <c r="Q16" i="112" s="1"/>
  <c r="V24" i="91"/>
  <c r="AA24" i="91" s="1"/>
  <c r="X24" i="91"/>
  <c r="AC24" i="91" s="1"/>
  <c r="K29" i="113"/>
  <c r="X29" i="92"/>
  <c r="AC29" i="92" s="1"/>
  <c r="Y29" i="92"/>
  <c r="AD29" i="92" s="1"/>
  <c r="AI13" i="63"/>
  <c r="AL13" i="63" s="1"/>
  <c r="AH13" i="63"/>
  <c r="AK13" i="63" s="1"/>
  <c r="R18" i="24"/>
  <c r="W35" i="92"/>
  <c r="O21" i="113"/>
  <c r="R21" i="113" s="1"/>
  <c r="T21" i="113" s="1"/>
  <c r="W21" i="113" s="1"/>
  <c r="AF16" i="63"/>
  <c r="X35" i="3"/>
  <c r="O30" i="112"/>
  <c r="Q30" i="112" s="1"/>
  <c r="S30" i="91"/>
  <c r="G29" i="113"/>
  <c r="AG9" i="2"/>
  <c r="AI9" i="2"/>
  <c r="AI12" i="63"/>
  <c r="AL12" i="63" s="1"/>
  <c r="AH12" i="63"/>
  <c r="AK12" i="63" s="1"/>
  <c r="K25" i="113"/>
  <c r="X25" i="92"/>
  <c r="AC25" i="92" s="1"/>
  <c r="Y25" i="92"/>
  <c r="AD25" i="92" s="1"/>
  <c r="O32" i="112"/>
  <c r="Q32" i="112" s="1"/>
  <c r="S32" i="112" s="1"/>
  <c r="V32" i="112" s="1"/>
  <c r="AD32" i="62"/>
  <c r="X27" i="92"/>
  <c r="AC27" i="92" s="1"/>
  <c r="Y27" i="92"/>
  <c r="AD27" i="92" s="1"/>
  <c r="X11" i="92"/>
  <c r="Y11" i="92"/>
  <c r="AD11" i="92" s="1"/>
  <c r="E40" i="113"/>
  <c r="H40" i="113" s="1"/>
  <c r="S14" i="112"/>
  <c r="V14" i="112" s="1"/>
  <c r="T14" i="112"/>
  <c r="W14" i="112" s="1"/>
  <c r="M28" i="113"/>
  <c r="G28" i="113"/>
  <c r="X35" i="2"/>
  <c r="M8" i="112"/>
  <c r="AE8" i="2"/>
  <c r="AC8" i="2"/>
  <c r="AB11" i="92"/>
  <c r="AB35" i="92" s="1"/>
  <c r="AC11" i="92"/>
  <c r="AA11" i="92"/>
  <c r="M16" i="3"/>
  <c r="N16" i="3"/>
  <c r="W31" i="113"/>
  <c r="X31" i="113"/>
  <c r="M32" i="3"/>
  <c r="N32" i="3"/>
  <c r="J35" i="62"/>
  <c r="L9" i="62"/>
  <c r="X21" i="113"/>
  <c r="K35" i="113"/>
  <c r="H39" i="113" s="1"/>
  <c r="T17" i="112"/>
  <c r="W17" i="112" s="1"/>
  <c r="O24" i="112"/>
  <c r="Q24" i="112" s="1"/>
  <c r="G26" i="113"/>
  <c r="T26" i="113"/>
  <c r="E52" i="2"/>
  <c r="H52" i="2" s="1"/>
  <c r="H42" i="2"/>
  <c r="K18" i="113"/>
  <c r="P18" i="24"/>
  <c r="S18" i="24" s="1"/>
  <c r="AB8" i="2"/>
  <c r="G10" i="113"/>
  <c r="AF24" i="62"/>
  <c r="AI24" i="62" s="1"/>
  <c r="AG24" i="62"/>
  <c r="AJ24" i="62" s="1"/>
  <c r="Z12" i="3"/>
  <c r="V12" i="3"/>
  <c r="AA12" i="3" s="1"/>
  <c r="O12" i="92"/>
  <c r="S12" i="92" s="1"/>
  <c r="AD19" i="3"/>
  <c r="AJ19" i="3" s="1"/>
  <c r="AF16" i="62"/>
  <c r="AI16" i="62" s="1"/>
  <c r="AG16" i="62"/>
  <c r="AJ16" i="62" s="1"/>
  <c r="AI27" i="63"/>
  <c r="AH27" i="63"/>
  <c r="AK27" i="63" s="1"/>
  <c r="O11" i="113"/>
  <c r="R11" i="113" s="1"/>
  <c r="T11" i="113" s="1"/>
  <c r="W11" i="113" s="1"/>
  <c r="AE11" i="63"/>
  <c r="AH26" i="63"/>
  <c r="AK26" i="63" s="1"/>
  <c r="AI26" i="63"/>
  <c r="AL26" i="63" s="1"/>
  <c r="AF14" i="3"/>
  <c r="AL14" i="3" s="1"/>
  <c r="AJ31" i="62"/>
  <c r="AI31" i="62"/>
  <c r="E51" i="92"/>
  <c r="H51" i="92" s="1"/>
  <c r="H40" i="92"/>
  <c r="W28" i="92"/>
  <c r="AB28" i="92" s="1"/>
  <c r="Y28" i="92"/>
  <c r="AD28" i="92" s="1"/>
  <c r="W21" i="91"/>
  <c r="AB21" i="91" s="1"/>
  <c r="V21" i="91"/>
  <c r="AA21" i="91" s="1"/>
  <c r="X21" i="91"/>
  <c r="AC21" i="91" s="1"/>
  <c r="Y21" i="91"/>
  <c r="AD21" i="91" s="1"/>
  <c r="AB32" i="2"/>
  <c r="AD32" i="2"/>
  <c r="AE32" i="2"/>
  <c r="P25" i="24"/>
  <c r="O25" i="24"/>
  <c r="M9" i="113"/>
  <c r="T9" i="113" s="1"/>
  <c r="G9" i="113"/>
  <c r="R27" i="24"/>
  <c r="S27" i="24"/>
  <c r="L12" i="112"/>
  <c r="AC35" i="62"/>
  <c r="E44" i="62" s="1"/>
  <c r="H44" i="62" s="1"/>
  <c r="AF12" i="62"/>
  <c r="AI12" i="62" s="1"/>
  <c r="AG12" i="62"/>
  <c r="AJ12" i="62" s="1"/>
  <c r="AA12" i="91"/>
  <c r="AD12" i="91"/>
  <c r="AB12" i="91"/>
  <c r="AC12" i="91"/>
  <c r="M21" i="2"/>
  <c r="N21" i="2"/>
  <c r="S28" i="23"/>
  <c r="R28" i="23"/>
  <c r="AK30" i="63"/>
  <c r="B40" i="112"/>
  <c r="B43" i="112" s="1"/>
  <c r="E39" i="112"/>
  <c r="X13" i="113"/>
  <c r="AC24" i="2"/>
  <c r="AE24" i="2"/>
  <c r="R35" i="72"/>
  <c r="M16" i="112"/>
  <c r="T16" i="112" s="1"/>
  <c r="W16" i="112" s="1"/>
  <c r="AB24" i="2"/>
  <c r="AD24" i="2"/>
  <c r="AD16" i="2"/>
  <c r="AI16" i="2" s="1"/>
  <c r="R26" i="24"/>
  <c r="AG10" i="62"/>
  <c r="AJ10" i="62" s="1"/>
  <c r="AF10" i="62"/>
  <c r="AI10" i="62" s="1"/>
  <c r="Z18" i="3"/>
  <c r="V18" i="3"/>
  <c r="AA18" i="3" s="1"/>
  <c r="O18" i="92"/>
  <c r="S18" i="92" s="1"/>
  <c r="E39" i="24"/>
  <c r="B40" i="24"/>
  <c r="B43" i="24" s="1"/>
  <c r="AI28" i="63"/>
  <c r="AL28" i="63" s="1"/>
  <c r="AH28" i="63"/>
  <c r="AK28" i="63" s="1"/>
  <c r="S15" i="112"/>
  <c r="V15" i="112" s="1"/>
  <c r="T15" i="112"/>
  <c r="W15" i="112" s="1"/>
  <c r="E45" i="73"/>
  <c r="H45" i="73"/>
  <c r="AJ14" i="62"/>
  <c r="AI14" i="62"/>
  <c r="R20" i="23"/>
  <c r="S20" i="23"/>
  <c r="T32" i="112"/>
  <c r="W32" i="112" s="1"/>
  <c r="Q18" i="112"/>
  <c r="X35" i="62"/>
  <c r="AA8" i="62"/>
  <c r="AE17" i="63"/>
  <c r="AE32" i="63"/>
  <c r="L29" i="113"/>
  <c r="T29" i="113" s="1"/>
  <c r="AD29" i="63"/>
  <c r="AI29" i="63"/>
  <c r="AL29" i="63" s="1"/>
  <c r="AH29" i="63"/>
  <c r="AK29" i="63" s="1"/>
  <c r="Q35" i="63"/>
  <c r="T8" i="63"/>
  <c r="T35" i="63" s="1"/>
  <c r="AE18" i="63"/>
  <c r="AD11" i="3"/>
  <c r="AJ11" i="3" s="1"/>
  <c r="AK14" i="63"/>
  <c r="AL14" i="63"/>
  <c r="R25" i="24"/>
  <c r="S25" i="24"/>
  <c r="AJ30" i="62"/>
  <c r="AI30" i="62"/>
  <c r="W27" i="113"/>
  <c r="J35" i="2"/>
  <c r="M8" i="2"/>
  <c r="N8" i="2"/>
  <c r="T27" i="83"/>
  <c r="U27" i="83"/>
  <c r="M13" i="2"/>
  <c r="N13" i="2"/>
  <c r="AJ23" i="62"/>
  <c r="X14" i="91"/>
  <c r="AC14" i="91" s="1"/>
  <c r="V14" i="91"/>
  <c r="AA14" i="91" s="1"/>
  <c r="S35" i="91"/>
  <c r="E44" i="91" s="1"/>
  <c r="H44" i="91" s="1"/>
  <c r="AC29" i="2"/>
  <c r="AH29" i="2" s="1"/>
  <c r="AE29" i="2"/>
  <c r="AJ29" i="2" s="1"/>
  <c r="I35" i="91"/>
  <c r="G8" i="112"/>
  <c r="O35" i="91"/>
  <c r="H43" i="83"/>
  <c r="E43" i="83"/>
  <c r="E46" i="83" s="1"/>
  <c r="E45" i="83" s="1"/>
  <c r="O22" i="112"/>
  <c r="Q22" i="112" s="1"/>
  <c r="E48" i="82"/>
  <c r="E47" i="82" s="1"/>
  <c r="H46" i="82"/>
  <c r="H48" i="82" s="1"/>
  <c r="H47" i="82" s="1"/>
  <c r="M21" i="112"/>
  <c r="U8" i="72"/>
  <c r="U35" i="72" s="1"/>
  <c r="K26" i="113"/>
  <c r="U26" i="113" s="1"/>
  <c r="P26" i="24"/>
  <c r="S26" i="24" s="1"/>
  <c r="S10" i="112"/>
  <c r="V10" i="112" s="1"/>
  <c r="T10" i="112"/>
  <c r="Q35" i="73"/>
  <c r="L35" i="24"/>
  <c r="AH22" i="63"/>
  <c r="AK22" i="63" s="1"/>
  <c r="AI22" i="63"/>
  <c r="AL22" i="63" s="1"/>
  <c r="AH30" i="63"/>
  <c r="AI30" i="63"/>
  <c r="AL30" i="63" s="1"/>
  <c r="AJ15" i="62"/>
  <c r="AI15" i="62"/>
  <c r="S29" i="112"/>
  <c r="V29" i="112" s="1"/>
  <c r="S20" i="112"/>
  <c r="V20" i="112" s="1"/>
  <c r="T20" i="112"/>
  <c r="W20" i="112" s="1"/>
  <c r="H43" i="72"/>
  <c r="H45" i="72" s="1"/>
  <c r="H44" i="72" s="1"/>
  <c r="E45" i="72"/>
  <c r="E44" i="72" s="1"/>
  <c r="AI21" i="63"/>
  <c r="AL21" i="63" s="1"/>
  <c r="AH21" i="63"/>
  <c r="AK21" i="63" s="1"/>
  <c r="AG27" i="3"/>
  <c r="AM27" i="3" s="1"/>
  <c r="AE27" i="3"/>
  <c r="AK27" i="3" s="1"/>
  <c r="K17" i="113"/>
  <c r="U17" i="113" s="1"/>
  <c r="X17" i="92"/>
  <c r="AC17" i="92" s="1"/>
  <c r="Y17" i="92"/>
  <c r="AD17" i="92" s="1"/>
  <c r="AE24" i="63"/>
  <c r="Z24" i="3"/>
  <c r="V24" i="3"/>
  <c r="AA24" i="3" s="1"/>
  <c r="O24" i="92"/>
  <c r="S24" i="92" s="1"/>
  <c r="O24" i="113"/>
  <c r="R24" i="113" s="1"/>
  <c r="Z8" i="3"/>
  <c r="V8" i="3"/>
  <c r="U35" i="3"/>
  <c r="O8" i="92"/>
  <c r="AH10" i="63"/>
  <c r="AK10" i="63" s="1"/>
  <c r="AI10" i="63"/>
  <c r="AL10" i="63" s="1"/>
  <c r="O19" i="24"/>
  <c r="R19" i="24" s="1"/>
  <c r="P19" i="24"/>
  <c r="S19" i="24" s="1"/>
  <c r="M32" i="2"/>
  <c r="N32" i="2"/>
  <c r="I35" i="112"/>
  <c r="M20" i="113"/>
  <c r="G20" i="113"/>
  <c r="M13" i="112"/>
  <c r="S13" i="112" s="1"/>
  <c r="V13" i="112" s="1"/>
  <c r="V13" i="91"/>
  <c r="AA13" i="91" s="1"/>
  <c r="W13" i="91"/>
  <c r="Y13" i="91"/>
  <c r="X13" i="91"/>
  <c r="M14" i="113"/>
  <c r="G14" i="113"/>
  <c r="M25" i="113"/>
  <c r="T25" i="113" s="1"/>
  <c r="G25" i="113"/>
  <c r="M26" i="112"/>
  <c r="O26" i="23"/>
  <c r="R26" i="23" s="1"/>
  <c r="P26" i="23"/>
  <c r="S26" i="23" s="1"/>
  <c r="G24" i="113"/>
  <c r="R11" i="24"/>
  <c r="S11" i="24"/>
  <c r="B47" i="2"/>
  <c r="B52" i="2" s="1"/>
  <c r="B44" i="2"/>
  <c r="E51" i="91"/>
  <c r="H40" i="91"/>
  <c r="E46" i="91"/>
  <c r="K27" i="113"/>
  <c r="U27" i="113" s="1"/>
  <c r="X27" i="113" s="1"/>
  <c r="R27" i="83"/>
  <c r="S35" i="2"/>
  <c r="H39" i="2" s="1"/>
  <c r="K28" i="112"/>
  <c r="T28" i="112" s="1"/>
  <c r="W28" i="112" s="1"/>
  <c r="AD28" i="2"/>
  <c r="AI28" i="2" s="1"/>
  <c r="AE28" i="2"/>
  <c r="AJ28" i="2" s="1"/>
  <c r="AI22" i="62"/>
  <c r="AJ22" i="62"/>
  <c r="W23" i="113"/>
  <c r="X23" i="113"/>
  <c r="T29" i="112"/>
  <c r="W29" i="112" s="1"/>
  <c r="T9" i="112"/>
  <c r="T11" i="112"/>
  <c r="W11" i="112" s="1"/>
  <c r="AE25" i="2"/>
  <c r="AJ25" i="2" s="1"/>
  <c r="AC25" i="2"/>
  <c r="AH25" i="2" s="1"/>
  <c r="V22" i="91"/>
  <c r="AA22" i="91" s="1"/>
  <c r="X22" i="91"/>
  <c r="AC22" i="91" s="1"/>
  <c r="B45" i="63"/>
  <c r="T13" i="113"/>
  <c r="W13" i="113" s="1"/>
  <c r="Y29" i="91"/>
  <c r="AD29" i="91" s="1"/>
  <c r="S10" i="24"/>
  <c r="R10" i="24"/>
  <c r="AA35" i="63" l="1"/>
  <c r="AE8" i="63"/>
  <c r="E50" i="92"/>
  <c r="AH9" i="63"/>
  <c r="AK9" i="63" s="1"/>
  <c r="AI9" i="63"/>
  <c r="AL9" i="63" s="1"/>
  <c r="AH24" i="2"/>
  <c r="AJ24" i="2"/>
  <c r="S22" i="112"/>
  <c r="V22" i="112" s="1"/>
  <c r="T22" i="112"/>
  <c r="W22" i="112" s="1"/>
  <c r="AA35" i="62"/>
  <c r="AD8" i="62"/>
  <c r="W29" i="113"/>
  <c r="S23" i="112"/>
  <c r="V23" i="112" s="1"/>
  <c r="T23" i="112"/>
  <c r="W23" i="112" s="1"/>
  <c r="O32" i="113"/>
  <c r="R32" i="113" s="1"/>
  <c r="O20" i="113"/>
  <c r="R20" i="113" s="1"/>
  <c r="I35" i="83"/>
  <c r="U9" i="83"/>
  <c r="T9" i="83"/>
  <c r="T35" i="83" s="1"/>
  <c r="R35" i="83"/>
  <c r="U28" i="113"/>
  <c r="T28" i="113"/>
  <c r="AK24" i="3"/>
  <c r="AM24" i="3"/>
  <c r="E45" i="91"/>
  <c r="AI24" i="2"/>
  <c r="AG24" i="2"/>
  <c r="AF32" i="62"/>
  <c r="AI32" i="62" s="1"/>
  <c r="AG32" i="62"/>
  <c r="AJ32" i="62" s="1"/>
  <c r="H49" i="2"/>
  <c r="H46" i="2"/>
  <c r="X24" i="92"/>
  <c r="AC24" i="92" s="1"/>
  <c r="V24" i="92"/>
  <c r="AA24" i="92" s="1"/>
  <c r="AG24" i="3"/>
  <c r="AE24" i="3"/>
  <c r="N35" i="2"/>
  <c r="AH8" i="2"/>
  <c r="AJ8" i="2"/>
  <c r="W9" i="113"/>
  <c r="X9" i="113"/>
  <c r="E45" i="113"/>
  <c r="H45" i="113" s="1"/>
  <c r="S16" i="112"/>
  <c r="V16" i="112" s="1"/>
  <c r="W22" i="113"/>
  <c r="X32" i="92"/>
  <c r="AC32" i="92" s="1"/>
  <c r="V32" i="92"/>
  <c r="AA32" i="92" s="1"/>
  <c r="AE20" i="3"/>
  <c r="AK20" i="3" s="1"/>
  <c r="AG20" i="3"/>
  <c r="AM20" i="3" s="1"/>
  <c r="AD9" i="92"/>
  <c r="AD35" i="92" s="1"/>
  <c r="Y35" i="92"/>
  <c r="H46" i="83"/>
  <c r="H45" i="83" s="1"/>
  <c r="W17" i="113"/>
  <c r="X17" i="113"/>
  <c r="V28" i="92"/>
  <c r="AA28" i="92" s="1"/>
  <c r="X28" i="92"/>
  <c r="AC28" i="92" s="1"/>
  <c r="E53" i="91"/>
  <c r="H53" i="91" s="1"/>
  <c r="H42" i="91"/>
  <c r="AI16" i="63"/>
  <c r="AL16" i="63" s="1"/>
  <c r="AH16" i="63"/>
  <c r="AK16" i="63" s="1"/>
  <c r="T24" i="113"/>
  <c r="W24" i="113" s="1"/>
  <c r="U24" i="113"/>
  <c r="AH18" i="63"/>
  <c r="AK18" i="63" s="1"/>
  <c r="AI18" i="63"/>
  <c r="AL18" i="63" s="1"/>
  <c r="O35" i="92"/>
  <c r="S8" i="92"/>
  <c r="AF24" i="3"/>
  <c r="AL24" i="3" s="1"/>
  <c r="AD24" i="3"/>
  <c r="AJ24" i="3" s="1"/>
  <c r="M35" i="2"/>
  <c r="AI8" i="2"/>
  <c r="AG8" i="2"/>
  <c r="S18" i="112"/>
  <c r="V18" i="112" s="1"/>
  <c r="T18" i="112"/>
  <c r="W18" i="112" s="1"/>
  <c r="O18" i="113"/>
  <c r="R18" i="113" s="1"/>
  <c r="T18" i="113" s="1"/>
  <c r="W10" i="113"/>
  <c r="W26" i="113"/>
  <c r="X26" i="113"/>
  <c r="U30" i="113"/>
  <c r="AE35" i="2"/>
  <c r="V30" i="91"/>
  <c r="AA30" i="91" s="1"/>
  <c r="AA35" i="91" s="1"/>
  <c r="X30" i="91"/>
  <c r="AC30" i="91" s="1"/>
  <c r="AC11" i="2"/>
  <c r="AH11" i="2" s="1"/>
  <c r="AE11" i="2"/>
  <c r="AJ11" i="2" s="1"/>
  <c r="Z35" i="2"/>
  <c r="E54" i="2" s="1"/>
  <c r="H54" i="2" s="1"/>
  <c r="N35" i="3"/>
  <c r="AE32" i="3"/>
  <c r="AG32" i="3"/>
  <c r="AM32" i="3" s="1"/>
  <c r="AF20" i="3"/>
  <c r="AL20" i="3" s="1"/>
  <c r="AD20" i="3"/>
  <c r="AJ20" i="3" s="1"/>
  <c r="H50" i="92"/>
  <c r="T14" i="113"/>
  <c r="W14" i="113" s="1"/>
  <c r="U14" i="113"/>
  <c r="X14" i="113" s="1"/>
  <c r="U11" i="113"/>
  <c r="X11" i="113" s="1"/>
  <c r="T35" i="62"/>
  <c r="O8" i="112"/>
  <c r="AE28" i="3"/>
  <c r="AK28" i="3" s="1"/>
  <c r="AG28" i="3"/>
  <c r="AM28" i="3" s="1"/>
  <c r="P35" i="24"/>
  <c r="S10" i="23"/>
  <c r="S35" i="23" s="1"/>
  <c r="P35" i="23"/>
  <c r="M35" i="113"/>
  <c r="E43" i="113" s="1"/>
  <c r="H43" i="113" s="1"/>
  <c r="B43" i="113"/>
  <c r="AD10" i="3"/>
  <c r="AJ10" i="3" s="1"/>
  <c r="AF10" i="3"/>
  <c r="AL10" i="3" s="1"/>
  <c r="X24" i="113"/>
  <c r="AH24" i="63"/>
  <c r="AK24" i="63" s="1"/>
  <c r="AI24" i="63"/>
  <c r="AL24" i="63" s="1"/>
  <c r="V18" i="92"/>
  <c r="AA18" i="92" s="1"/>
  <c r="X18" i="92"/>
  <c r="AC18" i="92" s="1"/>
  <c r="AH21" i="2"/>
  <c r="AJ21" i="2"/>
  <c r="AI9" i="62"/>
  <c r="AJ9" i="62"/>
  <c r="L35" i="62"/>
  <c r="M35" i="112"/>
  <c r="E42" i="112" s="1"/>
  <c r="H42" i="112" s="1"/>
  <c r="U25" i="113"/>
  <c r="S30" i="112"/>
  <c r="V30" i="112" s="1"/>
  <c r="T30" i="112"/>
  <c r="W30" i="112" s="1"/>
  <c r="AL12" i="3"/>
  <c r="S35" i="24"/>
  <c r="AE22" i="3"/>
  <c r="AK22" i="3" s="1"/>
  <c r="AG22" i="3"/>
  <c r="AM22" i="3" s="1"/>
  <c r="AD32" i="3"/>
  <c r="AF32" i="3"/>
  <c r="U9" i="113"/>
  <c r="V9" i="112"/>
  <c r="W9" i="112"/>
  <c r="AF28" i="3"/>
  <c r="AL28" i="3" s="1"/>
  <c r="AD28" i="3"/>
  <c r="AJ28" i="3" s="1"/>
  <c r="U10" i="113"/>
  <c r="X10" i="113" s="1"/>
  <c r="O35" i="23"/>
  <c r="R10" i="23"/>
  <c r="R35" i="23" s="1"/>
  <c r="AJ32" i="3"/>
  <c r="AL32" i="3"/>
  <c r="AD16" i="3"/>
  <c r="AJ16" i="3" s="1"/>
  <c r="AF16" i="3"/>
  <c r="AL16" i="3" s="1"/>
  <c r="AD13" i="91"/>
  <c r="Y35" i="91"/>
  <c r="H46" i="91"/>
  <c r="H45" i="91" s="1"/>
  <c r="AB13" i="91"/>
  <c r="W35" i="91"/>
  <c r="AJ32" i="2"/>
  <c r="AH32" i="2"/>
  <c r="G35" i="112"/>
  <c r="AE18" i="3"/>
  <c r="AK18" i="3" s="1"/>
  <c r="AG18" i="3"/>
  <c r="AM18" i="3" s="1"/>
  <c r="AG21" i="2"/>
  <c r="AI21" i="2"/>
  <c r="L35" i="112"/>
  <c r="T12" i="112"/>
  <c r="W12" i="112" s="1"/>
  <c r="S12" i="112"/>
  <c r="V12" i="112" s="1"/>
  <c r="O12" i="113"/>
  <c r="R12" i="113" s="1"/>
  <c r="AB35" i="2"/>
  <c r="S24" i="112"/>
  <c r="V24" i="112" s="1"/>
  <c r="T24" i="112"/>
  <c r="W24" i="112" s="1"/>
  <c r="E58" i="3"/>
  <c r="H47" i="3"/>
  <c r="R35" i="24"/>
  <c r="O16" i="113"/>
  <c r="R16" i="113" s="1"/>
  <c r="O10" i="113"/>
  <c r="R10" i="113" s="1"/>
  <c r="T10" i="113" s="1"/>
  <c r="H42" i="92"/>
  <c r="E53" i="92"/>
  <c r="H53" i="92" s="1"/>
  <c r="AH19" i="63"/>
  <c r="AK19" i="63" s="1"/>
  <c r="AI19" i="63"/>
  <c r="AL19" i="63" s="1"/>
  <c r="X26" i="92"/>
  <c r="AC26" i="92" s="1"/>
  <c r="V26" i="92"/>
  <c r="AA26" i="92" s="1"/>
  <c r="H50" i="2"/>
  <c r="E56" i="2"/>
  <c r="E55" i="2" s="1"/>
  <c r="U22" i="113"/>
  <c r="X22" i="113" s="1"/>
  <c r="AD35" i="2"/>
  <c r="AF12" i="3"/>
  <c r="AD12" i="3"/>
  <c r="AJ12" i="3" s="1"/>
  <c r="E40" i="112"/>
  <c r="H40" i="112"/>
  <c r="S26" i="112"/>
  <c r="V26" i="112" s="1"/>
  <c r="T26" i="112"/>
  <c r="W26" i="112" s="1"/>
  <c r="AI32" i="2"/>
  <c r="AG32" i="2"/>
  <c r="AA8" i="3"/>
  <c r="V35" i="3"/>
  <c r="S21" i="112"/>
  <c r="V21" i="112" s="1"/>
  <c r="T21" i="112"/>
  <c r="W21" i="112" s="1"/>
  <c r="AJ13" i="2"/>
  <c r="AH13" i="2"/>
  <c r="AD18" i="3"/>
  <c r="AJ18" i="3" s="1"/>
  <c r="AF18" i="3"/>
  <c r="AL18" i="3" s="1"/>
  <c r="AI11" i="63"/>
  <c r="AL11" i="63" s="1"/>
  <c r="AH11" i="63"/>
  <c r="AK11" i="63" s="1"/>
  <c r="V12" i="92"/>
  <c r="AA12" i="92" s="1"/>
  <c r="X12" i="92"/>
  <c r="AC12" i="92" s="1"/>
  <c r="W28" i="113"/>
  <c r="X28" i="113"/>
  <c r="AD16" i="63"/>
  <c r="AD35" i="63" s="1"/>
  <c r="AF35" i="63"/>
  <c r="E47" i="63" s="1"/>
  <c r="H41" i="3"/>
  <c r="H52" i="3" s="1"/>
  <c r="E52" i="3"/>
  <c r="X16" i="92"/>
  <c r="AC16" i="92" s="1"/>
  <c r="V16" i="92"/>
  <c r="AA16" i="92" s="1"/>
  <c r="AH20" i="63"/>
  <c r="AK20" i="63" s="1"/>
  <c r="AI20" i="63"/>
  <c r="AL20" i="63" s="1"/>
  <c r="X10" i="92"/>
  <c r="AC10" i="92" s="1"/>
  <c r="V10" i="92"/>
  <c r="AA10" i="92" s="1"/>
  <c r="S25" i="112"/>
  <c r="V25" i="112" s="1"/>
  <c r="T25" i="112"/>
  <c r="W25" i="112" s="1"/>
  <c r="AE26" i="3"/>
  <c r="AK26" i="3" s="1"/>
  <c r="AG26" i="3"/>
  <c r="AM26" i="3" s="1"/>
  <c r="U11" i="83"/>
  <c r="H41" i="23"/>
  <c r="H45" i="23" s="1"/>
  <c r="H44" i="23" s="1"/>
  <c r="E41" i="23"/>
  <c r="E45" i="23" s="1"/>
  <c r="E44" i="23" s="1"/>
  <c r="T13" i="112"/>
  <c r="W13" i="112" s="1"/>
  <c r="AI17" i="63"/>
  <c r="AL17" i="63" s="1"/>
  <c r="AH17" i="63"/>
  <c r="AK17" i="63" s="1"/>
  <c r="AD35" i="91"/>
  <c r="X20" i="92"/>
  <c r="AC20" i="92" s="1"/>
  <c r="V20" i="92"/>
  <c r="AA20" i="92" s="1"/>
  <c r="AC13" i="91"/>
  <c r="AC35" i="91" s="1"/>
  <c r="O8" i="113"/>
  <c r="M35" i="3"/>
  <c r="H51" i="91"/>
  <c r="H57" i="91" s="1"/>
  <c r="H56" i="91" s="1"/>
  <c r="E57" i="91"/>
  <c r="E56" i="91" s="1"/>
  <c r="H45" i="2"/>
  <c r="E45" i="2"/>
  <c r="W25" i="113"/>
  <c r="X25" i="113"/>
  <c r="Z35" i="3"/>
  <c r="E45" i="3" s="1"/>
  <c r="H45" i="3" s="1"/>
  <c r="AF8" i="3"/>
  <c r="AD8" i="3"/>
  <c r="H41" i="24"/>
  <c r="H45" i="24" s="1"/>
  <c r="H44" i="24" s="1"/>
  <c r="E41" i="24"/>
  <c r="E45" i="24" s="1"/>
  <c r="E44" i="24" s="1"/>
  <c r="AG13" i="2"/>
  <c r="AI13" i="2"/>
  <c r="AI32" i="63"/>
  <c r="AL32" i="63" s="1"/>
  <c r="AH32" i="63"/>
  <c r="AK32" i="63" s="1"/>
  <c r="AB35" i="91"/>
  <c r="AE12" i="3"/>
  <c r="AK12" i="3" s="1"/>
  <c r="AG12" i="3"/>
  <c r="AM12" i="3" s="1"/>
  <c r="U18" i="113"/>
  <c r="AK32" i="3"/>
  <c r="U29" i="113"/>
  <c r="X29" i="113" s="1"/>
  <c r="AG16" i="3"/>
  <c r="AM16" i="3" s="1"/>
  <c r="AE16" i="3"/>
  <c r="AK16" i="3" s="1"/>
  <c r="AH25" i="63"/>
  <c r="AK25" i="63" s="1"/>
  <c r="AI25" i="63"/>
  <c r="AL25" i="63" s="1"/>
  <c r="AE10" i="3"/>
  <c r="AK10" i="3" s="1"/>
  <c r="AG10" i="3"/>
  <c r="AM10" i="3" s="1"/>
  <c r="W18" i="113"/>
  <c r="X18" i="113"/>
  <c r="X30" i="113"/>
  <c r="W30" i="113"/>
  <c r="G35" i="113"/>
  <c r="AD26" i="3"/>
  <c r="AJ26" i="3" s="1"/>
  <c r="AF26" i="3"/>
  <c r="AL26" i="3" s="1"/>
  <c r="K35" i="112"/>
  <c r="H39" i="112" s="1"/>
  <c r="AD35" i="3" l="1"/>
  <c r="AJ8" i="3"/>
  <c r="AJ35" i="3" s="1"/>
  <c r="T32" i="113"/>
  <c r="W32" i="113" s="1"/>
  <c r="U32" i="113"/>
  <c r="X32" i="113" s="1"/>
  <c r="AG8" i="62"/>
  <c r="AF8" i="62"/>
  <c r="AD35" i="62"/>
  <c r="E45" i="62" s="1"/>
  <c r="AF35" i="3"/>
  <c r="AL8" i="3"/>
  <c r="AL35" i="3" s="1"/>
  <c r="V8" i="92"/>
  <c r="S35" i="92"/>
  <c r="E44" i="92" s="1"/>
  <c r="X8" i="92"/>
  <c r="U35" i="83"/>
  <c r="O35" i="113"/>
  <c r="R8" i="113"/>
  <c r="AJ35" i="2"/>
  <c r="H56" i="2"/>
  <c r="H55" i="2" s="1"/>
  <c r="E57" i="92"/>
  <c r="E56" i="92" s="1"/>
  <c r="X35" i="91"/>
  <c r="H47" i="63"/>
  <c r="E48" i="63"/>
  <c r="E46" i="63" s="1"/>
  <c r="T16" i="113"/>
  <c r="W16" i="113" s="1"/>
  <c r="U16" i="113"/>
  <c r="X16" i="113" s="1"/>
  <c r="T12" i="113"/>
  <c r="W12" i="113" s="1"/>
  <c r="U12" i="113"/>
  <c r="X12" i="113" s="1"/>
  <c r="AH35" i="2"/>
  <c r="AH8" i="63"/>
  <c r="AE35" i="63"/>
  <c r="E45" i="63" s="1"/>
  <c r="H45" i="63" s="1"/>
  <c r="AI8" i="63"/>
  <c r="T20" i="113"/>
  <c r="W20" i="113" s="1"/>
  <c r="U20" i="113"/>
  <c r="X20" i="113" s="1"/>
  <c r="AG8" i="3"/>
  <c r="AE8" i="3"/>
  <c r="AA35" i="3"/>
  <c r="H57" i="92"/>
  <c r="H56" i="92" s="1"/>
  <c r="AG35" i="2"/>
  <c r="E48" i="3"/>
  <c r="E46" i="3" s="1"/>
  <c r="AI35" i="2"/>
  <c r="H58" i="3"/>
  <c r="H48" i="3"/>
  <c r="H46" i="3" s="1"/>
  <c r="H43" i="112"/>
  <c r="E43" i="112"/>
  <c r="O35" i="112"/>
  <c r="Q8" i="112"/>
  <c r="V35" i="91"/>
  <c r="AC35" i="2"/>
  <c r="AI8" i="62" l="1"/>
  <c r="AI35" i="62" s="1"/>
  <c r="AF35" i="62"/>
  <c r="H56" i="3"/>
  <c r="H59" i="3" s="1"/>
  <c r="H57" i="3" s="1"/>
  <c r="E56" i="3"/>
  <c r="E59" i="3" s="1"/>
  <c r="E57" i="3" s="1"/>
  <c r="H44" i="92"/>
  <c r="H46" i="92" s="1"/>
  <c r="H45" i="92" s="1"/>
  <c r="E46" i="92"/>
  <c r="E45" i="92" s="1"/>
  <c r="AG35" i="62"/>
  <c r="AJ8" i="62"/>
  <c r="AJ35" i="62" s="1"/>
  <c r="X35" i="92"/>
  <c r="N38" i="92" s="1"/>
  <c r="AC8" i="92"/>
  <c r="AC35" i="92" s="1"/>
  <c r="AE35" i="3"/>
  <c r="AK8" i="3"/>
  <c r="AK35" i="3" s="1"/>
  <c r="AA8" i="92"/>
  <c r="AA35" i="92" s="1"/>
  <c r="V35" i="92"/>
  <c r="AG35" i="3"/>
  <c r="AM8" i="3"/>
  <c r="AM35" i="3" s="1"/>
  <c r="R35" i="113"/>
  <c r="E44" i="113" s="1"/>
  <c r="U8" i="113"/>
  <c r="T8" i="113"/>
  <c r="Q35" i="112"/>
  <c r="S8" i="112"/>
  <c r="T8" i="112"/>
  <c r="AI35" i="63"/>
  <c r="AL8" i="63"/>
  <c r="AL35" i="63" s="1"/>
  <c r="AH35" i="63"/>
  <c r="AK8" i="63"/>
  <c r="AK35" i="63" s="1"/>
  <c r="H48" i="63"/>
  <c r="H46" i="63" s="1"/>
  <c r="H45" i="62"/>
  <c r="H47" i="62" s="1"/>
  <c r="H46" i="62" s="1"/>
  <c r="E47" i="62"/>
  <c r="E46" i="62" s="1"/>
  <c r="S35" i="112" l="1"/>
  <c r="V8" i="112"/>
  <c r="V35" i="112" s="1"/>
  <c r="E44" i="112"/>
  <c r="E45" i="112" s="1"/>
  <c r="E46" i="112" s="1"/>
  <c r="H44" i="112"/>
  <c r="H45" i="112" s="1"/>
  <c r="H46" i="112" s="1"/>
  <c r="T35" i="113"/>
  <c r="W8" i="113"/>
  <c r="W35" i="113" s="1"/>
  <c r="U35" i="113"/>
  <c r="X8" i="113"/>
  <c r="X35" i="113" s="1"/>
  <c r="H44" i="113"/>
  <c r="H46" i="113" s="1"/>
  <c r="H47" i="113" s="1"/>
  <c r="E46" i="113"/>
  <c r="E47" i="113" s="1"/>
  <c r="T35" i="112"/>
  <c r="W8" i="112"/>
  <c r="W35" i="112" s="1"/>
</calcChain>
</file>

<file path=xl/sharedStrings.xml><?xml version="1.0" encoding="utf-8"?>
<sst xmlns="http://schemas.openxmlformats.org/spreadsheetml/2006/main" count="1432" uniqueCount="156">
  <si>
    <t>North Platte River at Keystone</t>
  </si>
  <si>
    <t>Year</t>
  </si>
  <si>
    <t>Streamflow (Gain)</t>
  </si>
  <si>
    <t>SWCU</t>
  </si>
  <si>
    <t>SW Demand,</t>
  </si>
  <si>
    <t>Net SW Loss</t>
  </si>
  <si>
    <t>Near Term Demand</t>
  </si>
  <si>
    <t>Long Term Demand</t>
  </si>
  <si>
    <t>AF</t>
  </si>
  <si>
    <t>AVG:</t>
  </si>
  <si>
    <t>Supply</t>
  </si>
  <si>
    <t>GWDP</t>
  </si>
  <si>
    <t>GWCU</t>
  </si>
  <si>
    <t>SWDemand</t>
  </si>
  <si>
    <r>
      <t xml:space="preserve">North Platte @ NPlatte Subbasin </t>
    </r>
    <r>
      <rPr>
        <b/>
        <sz val="11"/>
        <rFont val="Calibri"/>
        <family val="2"/>
        <scheme val="minor"/>
      </rPr>
      <t>Irrigation</t>
    </r>
    <r>
      <rPr>
        <sz val="11"/>
        <rFont val="Calibri"/>
        <family val="2"/>
        <scheme val="minor"/>
      </rPr>
      <t xml:space="preserve"> Season Summary Data</t>
    </r>
  </si>
  <si>
    <t>June 1 - Aug 31</t>
  </si>
  <si>
    <t xml:space="preserve">AVG: </t>
  </si>
  <si>
    <t>September 1 through May 31</t>
  </si>
  <si>
    <t>Max NonCU Demand</t>
  </si>
  <si>
    <r>
      <t xml:space="preserve">Lewellen Subbasin </t>
    </r>
    <r>
      <rPr>
        <b/>
        <sz val="11"/>
        <color theme="1"/>
        <rFont val="Calibri"/>
        <family val="2"/>
        <scheme val="minor"/>
      </rPr>
      <t>Non-Irrigation</t>
    </r>
    <r>
      <rPr>
        <sz val="11"/>
        <color theme="1"/>
        <rFont val="Calibri"/>
        <family val="2"/>
        <scheme val="minor"/>
      </rPr>
      <t xml:space="preserve"> Season Summary Data</t>
    </r>
  </si>
  <si>
    <t>Res Evap</t>
  </si>
  <si>
    <r>
      <t xml:space="preserve">Lewellen Subbasin </t>
    </r>
    <r>
      <rPr>
        <b/>
        <sz val="11"/>
        <rFont val="Calibri"/>
        <family val="2"/>
        <scheme val="minor"/>
      </rPr>
      <t>Irrigation</t>
    </r>
    <r>
      <rPr>
        <sz val="11"/>
        <rFont val="Calibri"/>
        <family val="2"/>
        <scheme val="minor"/>
      </rPr>
      <t xml:space="preserve"> Season Summary Data</t>
    </r>
  </si>
  <si>
    <t>SUM</t>
  </si>
  <si>
    <t>June 1 - August 31</t>
  </si>
  <si>
    <r>
      <t xml:space="preserve">Overton to Odessa Subbasin </t>
    </r>
    <r>
      <rPr>
        <b/>
        <sz val="11"/>
        <color theme="1"/>
        <rFont val="Calibri"/>
        <family val="2"/>
        <scheme val="minor"/>
      </rPr>
      <t>Non-Irrigation</t>
    </r>
    <r>
      <rPr>
        <sz val="11"/>
        <color theme="1"/>
        <rFont val="Calibri"/>
        <family val="2"/>
        <scheme val="minor"/>
      </rPr>
      <t xml:space="preserve"> Season Summary Data</t>
    </r>
  </si>
  <si>
    <r>
      <t xml:space="preserve">Overton to Odessa Subbasin </t>
    </r>
    <r>
      <rPr>
        <b/>
        <sz val="11"/>
        <rFont val="Calibri"/>
        <family val="2"/>
        <scheme val="minor"/>
      </rPr>
      <t>Irrigation</t>
    </r>
    <r>
      <rPr>
        <sz val="11"/>
        <rFont val="Calibri"/>
        <family val="2"/>
        <scheme val="minor"/>
      </rPr>
      <t xml:space="preserve"> Season Summary Data</t>
    </r>
  </si>
  <si>
    <r>
      <t xml:space="preserve">Grand Island Subbasin </t>
    </r>
    <r>
      <rPr>
        <b/>
        <sz val="11"/>
        <color theme="1"/>
        <rFont val="Calibri"/>
        <family val="2"/>
        <scheme val="minor"/>
      </rPr>
      <t>Non-Irrigation</t>
    </r>
    <r>
      <rPr>
        <sz val="11"/>
        <color theme="1"/>
        <rFont val="Calibri"/>
        <family val="2"/>
        <scheme val="minor"/>
      </rPr>
      <t xml:space="preserve"> Season Summary Data</t>
    </r>
  </si>
  <si>
    <r>
      <t xml:space="preserve">Grand Island Subbasin </t>
    </r>
    <r>
      <rPr>
        <b/>
        <sz val="11"/>
        <rFont val="Calibri"/>
        <family val="2"/>
        <scheme val="minor"/>
      </rPr>
      <t>Irrigation</t>
    </r>
    <r>
      <rPr>
        <sz val="11"/>
        <rFont val="Calibri"/>
        <family val="2"/>
        <scheme val="minor"/>
      </rPr>
      <t xml:space="preserve"> Season Summary Data</t>
    </r>
  </si>
  <si>
    <t>SIUM</t>
  </si>
  <si>
    <r>
      <t xml:space="preserve">Duncan Subbasin </t>
    </r>
    <r>
      <rPr>
        <b/>
        <sz val="11"/>
        <color theme="1"/>
        <rFont val="Calibri"/>
        <family val="2"/>
        <scheme val="minor"/>
      </rPr>
      <t>Non-Irrigation</t>
    </r>
    <r>
      <rPr>
        <sz val="11"/>
        <color theme="1"/>
        <rFont val="Calibri"/>
        <family val="2"/>
        <scheme val="minor"/>
      </rPr>
      <t xml:space="preserve"> Season Summary Data</t>
    </r>
  </si>
  <si>
    <r>
      <t xml:space="preserve">Duncan Subbasin </t>
    </r>
    <r>
      <rPr>
        <b/>
        <sz val="11"/>
        <rFont val="Calibri"/>
        <family val="2"/>
        <scheme val="minor"/>
      </rPr>
      <t>Irrigation</t>
    </r>
    <r>
      <rPr>
        <sz val="11"/>
        <rFont val="Calibri"/>
        <family val="2"/>
        <scheme val="minor"/>
      </rPr>
      <t xml:space="preserve"> Season Summary Data</t>
    </r>
  </si>
  <si>
    <r>
      <t xml:space="preserve">South Platte @ NPlatte Subbasin </t>
    </r>
    <r>
      <rPr>
        <b/>
        <sz val="11"/>
        <color theme="1"/>
        <rFont val="Calibri"/>
        <family val="2"/>
        <scheme val="minor"/>
      </rPr>
      <t>Non-Irrigation</t>
    </r>
    <r>
      <rPr>
        <sz val="11"/>
        <color theme="1"/>
        <rFont val="Calibri"/>
        <family val="2"/>
        <scheme val="minor"/>
      </rPr>
      <t xml:space="preserve"> Season Summary Data</t>
    </r>
  </si>
  <si>
    <r>
      <t xml:space="preserve">South Platte @ NPlatte Subbasin </t>
    </r>
    <r>
      <rPr>
        <b/>
        <sz val="11"/>
        <rFont val="Calibri"/>
        <family val="2"/>
        <scheme val="minor"/>
      </rPr>
      <t>Irrigation</t>
    </r>
    <r>
      <rPr>
        <sz val="11"/>
        <rFont val="Calibri"/>
        <family val="2"/>
        <scheme val="minor"/>
      </rPr>
      <t xml:space="preserve"> Season Summary Data</t>
    </r>
  </si>
  <si>
    <t>Korty Diversion</t>
  </si>
  <si>
    <t>Max NonCU Demand,</t>
  </si>
  <si>
    <t>Max NonCU</t>
  </si>
  <si>
    <t>Balance - Near Term Demand</t>
  </si>
  <si>
    <t>Balance - Long Term Demand</t>
  </si>
  <si>
    <t xml:space="preserve"> Balance - Near Term Demand</t>
  </si>
  <si>
    <t>Balance (BWS) - Near Term</t>
  </si>
  <si>
    <t>Balance (BWS) - Long Term</t>
  </si>
  <si>
    <t>Streamflow (Loss)</t>
  </si>
  <si>
    <t>Excess Supply</t>
  </si>
  <si>
    <t>Remainder Storage Water</t>
  </si>
  <si>
    <t>Instream Flow Demand</t>
  </si>
  <si>
    <t>Long Term Demand; Scenario 2</t>
  </si>
  <si>
    <t>Long Term Demand; Scenario 1</t>
  </si>
  <si>
    <t>Max NonCU Demand; Scenario 1</t>
  </si>
  <si>
    <t>Max NonCU Demand; Scenario 2</t>
  </si>
  <si>
    <t>Near Term Demand; Scenario 1</t>
  </si>
  <si>
    <t>Near Term Demand; Scenario 2</t>
  </si>
  <si>
    <t>Sutherland Hydro Demand Scenario 1: Capped to 1750 cfs</t>
  </si>
  <si>
    <t>Sutherland Hydro Demand Scenario 2:  Capped to 1050 cfs</t>
  </si>
  <si>
    <t>Kearney Hydro Demand</t>
  </si>
  <si>
    <t>Kearney Diversion</t>
  </si>
  <si>
    <t>TriCounty Demand</t>
  </si>
  <si>
    <t>Basin Water Supply</t>
  </si>
  <si>
    <t>TriCounty SWDemand</t>
  </si>
  <si>
    <t>TriCounty NonCU Demand (Residual)</t>
  </si>
  <si>
    <t>Kearney SW Demand</t>
  </si>
  <si>
    <t>Kearney NonCU Residual</t>
  </si>
  <si>
    <t>Max NonCU Demand; Senario 1</t>
  </si>
  <si>
    <t>Max NonCU Demand; Senario 2</t>
  </si>
  <si>
    <t>Balance - Near Term Demand; Scenario 1</t>
  </si>
  <si>
    <t>Balance - Near Term Demand; Scenario 2</t>
  </si>
  <si>
    <t>Balance - Long Term Demand; Scenario 1</t>
  </si>
  <si>
    <t>Balance - Long Term Demand; Scenario 2</t>
  </si>
  <si>
    <t xml:space="preserve">Net SW Loss </t>
  </si>
  <si>
    <t>Req. Inflow</t>
  </si>
  <si>
    <t>SW Demand (CP Canals)</t>
  </si>
  <si>
    <t>Near Term Demand; Sutherland Scenario 1</t>
  </si>
  <si>
    <t>Near Term Demand; Sutherland Scenario 2</t>
  </si>
  <si>
    <t>Long Term Demand; Sutherland Scenario 1</t>
  </si>
  <si>
    <t>Long Term Demand; Sutherland Scenario 2</t>
  </si>
  <si>
    <t>Balance - Near Term Demand; Sutherland Scenario 1</t>
  </si>
  <si>
    <t>Balance - Near Term Demand; Sutherland Scenario 2</t>
  </si>
  <si>
    <t>Balance - Long Term Demand; Sutherland Scenario 1</t>
  </si>
  <si>
    <t>Balance - Long Term Demand; Sutherland Scenario 2</t>
  </si>
  <si>
    <t>Required Inflow; Sutherland Scenario 1</t>
  </si>
  <si>
    <t>Required Inflow; Sutherland Scenario 2</t>
  </si>
  <si>
    <t>Basin Water Supply; Sutherland Scenario 1</t>
  </si>
  <si>
    <t>Basin Water Supply; Sutherland Scenario 2</t>
  </si>
  <si>
    <t>Downstream Demand,</t>
  </si>
  <si>
    <t>Downstream Demand</t>
  </si>
  <si>
    <t>Max Hydro Demand</t>
  </si>
  <si>
    <t>Max Instream Flow Demand</t>
  </si>
  <si>
    <t>MAC Storage Offset</t>
  </si>
  <si>
    <t>Supply; Sutherland Scenario 1</t>
  </si>
  <si>
    <t>Supply; Sutherland Scenario 2</t>
  </si>
  <si>
    <t>MAX Storage Offset</t>
  </si>
  <si>
    <t>GWCU Demand</t>
  </si>
  <si>
    <t>Hydro Demand Scenario 1:  Capped to 150 cfs</t>
  </si>
  <si>
    <t>Hydro Demand Scenario 2: Capped to 850 cfs</t>
  </si>
  <si>
    <t>Required Inflow</t>
  </si>
  <si>
    <t xml:space="preserve">Hydro Demand </t>
  </si>
  <si>
    <t>M&amp;I</t>
  </si>
  <si>
    <t xml:space="preserve">AF </t>
  </si>
  <si>
    <t xml:space="preserve">AF  </t>
  </si>
  <si>
    <t>Streamflow Gain</t>
  </si>
  <si>
    <t xml:space="preserve">M&amp;I </t>
  </si>
  <si>
    <t>Johnson Return</t>
  </si>
  <si>
    <t>Tri Net SW Loss</t>
  </si>
  <si>
    <t>Kearney Net SW Loss</t>
  </si>
  <si>
    <t>Evap</t>
  </si>
  <si>
    <t>Near Term Demand, Scenario 1</t>
  </si>
  <si>
    <t>Long Term Demand, Scenario 1</t>
  </si>
  <si>
    <t>Balance - Near Term Demand, Scenario 1</t>
  </si>
  <si>
    <t>Balance - Long Term Demand, Scenario 1</t>
  </si>
  <si>
    <t>Updated:</t>
  </si>
  <si>
    <t>By:</t>
  </si>
  <si>
    <t>Simone Rock, HDR</t>
  </si>
  <si>
    <t>North Platte at Lewellen</t>
  </si>
  <si>
    <t>SW Demand</t>
  </si>
  <si>
    <r>
      <t xml:space="preserve">North Platte Subbasin </t>
    </r>
    <r>
      <rPr>
        <b/>
        <sz val="11"/>
        <color theme="1"/>
        <rFont val="Calibri"/>
        <family val="2"/>
        <scheme val="minor"/>
      </rPr>
      <t>Non-Irrigation</t>
    </r>
    <r>
      <rPr>
        <sz val="11"/>
        <color theme="1"/>
        <rFont val="Calibri"/>
        <family val="2"/>
        <scheme val="minor"/>
      </rPr>
      <t xml:space="preserve"> Season Summary Data</t>
    </r>
  </si>
  <si>
    <t>North Platte at Keystone</t>
  </si>
  <si>
    <t>North Platte at North Platte (+ 40cfs)</t>
  </si>
  <si>
    <t>SWCU (mainstem)</t>
  </si>
  <si>
    <t>SWCU (Birdwood Canal)</t>
  </si>
  <si>
    <t>Intrinsic Supply</t>
  </si>
  <si>
    <t>SW Demand (mainstem)</t>
  </si>
  <si>
    <t>SW Demand (Birdwood Canal)</t>
  </si>
  <si>
    <t>North Platte at North Platte (+40cfs)</t>
  </si>
  <si>
    <r>
      <t xml:space="preserve">MAC NonIRR </t>
    </r>
    <r>
      <rPr>
        <b/>
        <sz val="11"/>
        <rFont val="Calibri"/>
        <family val="2"/>
      </rPr>
      <t>Δ Storage</t>
    </r>
    <r>
      <rPr>
        <b/>
        <sz val="7.7"/>
        <rFont val="Calibri"/>
        <family val="2"/>
      </rPr>
      <t xml:space="preserve"> </t>
    </r>
  </si>
  <si>
    <t>Platte River at Confluence</t>
  </si>
  <si>
    <t>Platte River at Odessa</t>
  </si>
  <si>
    <t>SW Demand (Central Platte Canals)</t>
  </si>
  <si>
    <t xml:space="preserve">TriCounty NonCU Demand </t>
  </si>
  <si>
    <t xml:space="preserve">Kearney NonCU </t>
  </si>
  <si>
    <r>
      <t xml:space="preserve">Residual MAC NonIRR </t>
    </r>
    <r>
      <rPr>
        <b/>
        <sz val="11"/>
        <rFont val="Calibri"/>
        <family val="2"/>
      </rPr>
      <t>Δ Storage</t>
    </r>
    <r>
      <rPr>
        <b/>
        <sz val="7.7"/>
        <rFont val="Calibri"/>
        <family val="2"/>
      </rPr>
      <t xml:space="preserve"> </t>
    </r>
  </si>
  <si>
    <t>Platte River at Grand Island</t>
  </si>
  <si>
    <t>Platte River at Duncan</t>
  </si>
  <si>
    <t>South Platte River at North Platte</t>
  </si>
  <si>
    <t>Korty Diversion from South Platte</t>
  </si>
  <si>
    <t>BWS</t>
  </si>
  <si>
    <r>
      <t xml:space="preserve">MAC </t>
    </r>
    <r>
      <rPr>
        <b/>
        <sz val="11"/>
        <rFont val="Calibri"/>
        <family val="2"/>
      </rPr>
      <t>Δ</t>
    </r>
    <r>
      <rPr>
        <b/>
        <sz val="8.8000000000000007"/>
        <rFont val="Calibri"/>
        <family val="2"/>
      </rPr>
      <t xml:space="preserve"> Storage</t>
    </r>
  </si>
  <si>
    <t xml:space="preserve">GWDP = </t>
  </si>
  <si>
    <t>Groundwater Depletions</t>
  </si>
  <si>
    <t>SWCU =</t>
  </si>
  <si>
    <t>Surface Water Consumptive Use</t>
  </si>
  <si>
    <t>Res Evap =</t>
  </si>
  <si>
    <t>Reservoir Evaporation</t>
  </si>
  <si>
    <t>SW Demand =</t>
  </si>
  <si>
    <t>Surface Water Demand</t>
  </si>
  <si>
    <t>GWCU =</t>
  </si>
  <si>
    <t>Groundwater Consumptive Use</t>
  </si>
  <si>
    <t>Net Surface Water Loss</t>
  </si>
  <si>
    <t>M&amp;I =</t>
  </si>
  <si>
    <t>Municipal &amp; Industrial Demand</t>
  </si>
  <si>
    <t>Hydro =</t>
  </si>
  <si>
    <t>Hydropower</t>
  </si>
  <si>
    <t xml:space="preserve">NonCU = </t>
  </si>
  <si>
    <t xml:space="preserve">Non-consumptive Use </t>
  </si>
  <si>
    <t>NonIRR =</t>
  </si>
  <si>
    <t>Non-irrigation Season</t>
  </si>
  <si>
    <t>IRR=</t>
  </si>
  <si>
    <t>Irrigatoin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</si>
</sst>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b/>
      <sz val="7.7"/>
      <name val="Calibri"/>
      <family val="2"/>
    </font>
    <font>
      <b/>
      <sz val="8.8000000000000007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" fillId="3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7" applyNumberFormat="0" applyAlignment="0" applyProtection="0"/>
    <xf numFmtId="0" fontId="19" fillId="7" borderId="8" applyNumberFormat="0" applyAlignment="0" applyProtection="0"/>
    <xf numFmtId="0" fontId="20" fillId="7" borderId="7" applyNumberFormat="0" applyAlignment="0" applyProtection="0"/>
    <xf numFmtId="0" fontId="21" fillId="0" borderId="9" applyNumberFormat="0" applyFill="0" applyAlignment="0" applyProtection="0"/>
    <xf numFmtId="0" fontId="3" fillId="8" borderId="10" applyNumberFormat="0" applyAlignment="0" applyProtection="0"/>
    <xf numFmtId="0" fontId="4" fillId="0" borderId="0" applyNumberFormat="0" applyFill="0" applyBorder="0" applyAlignment="0" applyProtection="0"/>
    <xf numFmtId="0" fontId="1" fillId="3" borderId="1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</cellStyleXfs>
  <cellXfs count="186">
    <xf numFmtId="0" fontId="0" fillId="0" borderId="0" xfId="0"/>
    <xf numFmtId="0" fontId="1" fillId="0" borderId="0" xfId="4"/>
    <xf numFmtId="0" fontId="5" fillId="0" borderId="0" xfId="0" applyFont="1" applyAlignment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0" fillId="0" borderId="0" xfId="4" applyFont="1"/>
    <xf numFmtId="0" fontId="8" fillId="0" borderId="0" xfId="0" applyFont="1" applyFill="1"/>
    <xf numFmtId="0" fontId="0" fillId="0" borderId="0" xfId="0" applyFill="1"/>
    <xf numFmtId="0" fontId="1" fillId="0" borderId="0" xfId="4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Fill="1"/>
    <xf numFmtId="0" fontId="10" fillId="0" borderId="0" xfId="5"/>
    <xf numFmtId="0" fontId="5" fillId="0" borderId="0" xfId="0" applyFo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3" fontId="0" fillId="0" borderId="0" xfId="0" applyNumberFormat="1" applyFill="1"/>
    <xf numFmtId="3" fontId="0" fillId="0" borderId="0" xfId="0" applyNumberFormat="1"/>
    <xf numFmtId="3" fontId="1" fillId="0" borderId="0" xfId="4" applyNumberFormat="1"/>
    <xf numFmtId="3" fontId="8" fillId="0" borderId="0" xfId="0" applyNumberFormat="1" applyFont="1" applyFill="1"/>
    <xf numFmtId="164" fontId="8" fillId="0" borderId="0" xfId="1" applyNumberFormat="1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9" fillId="0" borderId="0" xfId="0" applyNumberFormat="1" applyFont="1" applyFill="1"/>
    <xf numFmtId="0" fontId="9" fillId="0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" xfId="0" applyBorder="1"/>
    <xf numFmtId="164" fontId="0" fillId="0" borderId="3" xfId="1" applyNumberFormat="1" applyFont="1" applyBorder="1"/>
    <xf numFmtId="9" fontId="0" fillId="0" borderId="0" xfId="2" applyFont="1"/>
    <xf numFmtId="0" fontId="0" fillId="0" borderId="0" xfId="0" applyFill="1" applyAlignment="1">
      <alignment horizontal="right"/>
    </xf>
    <xf numFmtId="2" fontId="7" fillId="0" borderId="0" xfId="4" applyNumberFormat="1" applyFont="1" applyFill="1"/>
    <xf numFmtId="0" fontId="7" fillId="0" borderId="0" xfId="4" applyFont="1" applyFill="1"/>
    <xf numFmtId="0" fontId="10" fillId="0" borderId="0" xfId="5" applyAlignment="1">
      <alignment horizontal="right"/>
    </xf>
    <xf numFmtId="0" fontId="10" fillId="0" borderId="0" xfId="9"/>
    <xf numFmtId="3" fontId="1" fillId="0" borderId="0" xfId="4" applyNumberFormat="1" applyFill="1"/>
    <xf numFmtId="4" fontId="0" fillId="0" borderId="0" xfId="0" applyNumberFormat="1" applyFill="1" applyAlignment="1">
      <alignment horizontal="right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3" xfId="0" applyNumberForma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8" fillId="0" borderId="3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0" fillId="0" borderId="0" xfId="0"/>
    <xf numFmtId="0" fontId="3" fillId="0" borderId="0" xfId="0" applyFont="1" applyFill="1"/>
    <xf numFmtId="0" fontId="1" fillId="0" borderId="0" xfId="4"/>
    <xf numFmtId="0" fontId="5" fillId="0" borderId="0" xfId="0" applyFont="1" applyFill="1"/>
    <xf numFmtId="43" fontId="8" fillId="0" borderId="0" xfId="0" applyNumberFormat="1" applyFont="1" applyFill="1"/>
    <xf numFmtId="0" fontId="0" fillId="0" borderId="0" xfId="0"/>
    <xf numFmtId="0" fontId="1" fillId="0" borderId="0" xfId="4"/>
    <xf numFmtId="0" fontId="0" fillId="0" borderId="0" xfId="0"/>
    <xf numFmtId="0" fontId="0" fillId="0" borderId="0" xfId="0"/>
    <xf numFmtId="0" fontId="1" fillId="0" borderId="0" xfId="4"/>
    <xf numFmtId="0" fontId="10" fillId="0" borderId="0" xfId="5"/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1" fillId="0" borderId="3" xfId="1" applyNumberForma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8" fillId="0" borderId="3" xfId="1" applyNumberFormat="1" applyFont="1" applyFill="1" applyBorder="1" applyAlignment="1">
      <alignment horizontal="right"/>
    </xf>
    <xf numFmtId="0" fontId="0" fillId="0" borderId="0" xfId="0"/>
    <xf numFmtId="0" fontId="1" fillId="0" borderId="0" xfId="4"/>
    <xf numFmtId="0" fontId="0" fillId="0" borderId="0" xfId="0"/>
    <xf numFmtId="0" fontId="1" fillId="0" borderId="0" xfId="4"/>
    <xf numFmtId="0" fontId="0" fillId="0" borderId="0" xfId="0"/>
    <xf numFmtId="0" fontId="0" fillId="0" borderId="0" xfId="0"/>
    <xf numFmtId="9" fontId="0" fillId="0" borderId="0" xfId="0" applyNumberFormat="1"/>
    <xf numFmtId="165" fontId="0" fillId="0" borderId="3" xfId="1" applyNumberFormat="1" applyFont="1" applyBorder="1"/>
    <xf numFmtId="0" fontId="8" fillId="0" borderId="3" xfId="0" applyFont="1" applyFill="1" applyBorder="1"/>
    <xf numFmtId="3" fontId="8" fillId="0" borderId="3" xfId="0" applyNumberFormat="1" applyFont="1" applyFill="1" applyBorder="1"/>
    <xf numFmtId="164" fontId="8" fillId="0" borderId="3" xfId="1" applyNumberFormat="1" applyFont="1" applyFill="1" applyBorder="1"/>
    <xf numFmtId="3" fontId="1" fillId="0" borderId="3" xfId="4" applyNumberFormat="1" applyBorder="1"/>
    <xf numFmtId="0" fontId="0" fillId="0" borderId="3" xfId="4" applyFont="1" applyBorder="1"/>
    <xf numFmtId="164" fontId="1" fillId="0" borderId="3" xfId="1" applyNumberFormat="1" applyBorder="1"/>
    <xf numFmtId="0" fontId="1" fillId="0" borderId="3" xfId="4" applyBorder="1"/>
    <xf numFmtId="3" fontId="0" fillId="0" borderId="3" xfId="0" applyNumberFormat="1" applyFill="1" applyBorder="1"/>
    <xf numFmtId="0" fontId="0" fillId="0" borderId="3" xfId="0" applyFill="1" applyBorder="1"/>
    <xf numFmtId="3" fontId="8" fillId="0" borderId="0" xfId="0" applyNumberFormat="1" applyFont="1" applyFill="1" applyAlignment="1">
      <alignment horizontal="right"/>
    </xf>
    <xf numFmtId="3" fontId="1" fillId="0" borderId="0" xfId="4" applyNumberFormat="1" applyAlignment="1">
      <alignment horizontal="right"/>
    </xf>
    <xf numFmtId="164" fontId="8" fillId="0" borderId="0" xfId="1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8" fillId="0" borderId="0" xfId="0" applyNumberFormat="1" applyFont="1" applyFill="1" applyAlignment="1">
      <alignment horizontal="right"/>
    </xf>
    <xf numFmtId="3" fontId="1" fillId="0" borderId="0" xfId="4" applyNumberFormat="1" applyFill="1" applyAlignment="1">
      <alignment horizontal="right"/>
    </xf>
    <xf numFmtId="164" fontId="8" fillId="0" borderId="3" xfId="0" applyNumberFormat="1" applyFont="1" applyFill="1" applyBorder="1"/>
    <xf numFmtId="0" fontId="0" fillId="0" borderId="0" xfId="0"/>
    <xf numFmtId="0" fontId="1" fillId="0" borderId="0" xfId="4"/>
    <xf numFmtId="0" fontId="0" fillId="0" borderId="0" xfId="0"/>
    <xf numFmtId="0" fontId="0" fillId="0" borderId="0" xfId="0"/>
    <xf numFmtId="0" fontId="1" fillId="0" borderId="0" xfId="4"/>
    <xf numFmtId="0" fontId="10" fillId="0" borderId="0" xfId="5"/>
    <xf numFmtId="0" fontId="1" fillId="0" borderId="0" xfId="4"/>
    <xf numFmtId="3" fontId="1" fillId="0" borderId="0" xfId="4" applyNumberFormat="1" applyBorder="1"/>
    <xf numFmtId="164" fontId="0" fillId="0" borderId="0" xfId="1" applyNumberFormat="1" applyFont="1" applyBorder="1" applyAlignment="1">
      <alignment horizontal="right"/>
    </xf>
    <xf numFmtId="3" fontId="10" fillId="0" borderId="0" xfId="5" applyNumberFormat="1" applyBorder="1"/>
    <xf numFmtId="164" fontId="10" fillId="0" borderId="0" xfId="1" applyNumberFormat="1" applyFont="1" applyBorder="1"/>
    <xf numFmtId="0" fontId="1" fillId="0" borderId="0" xfId="4"/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Fill="1"/>
    <xf numFmtId="0" fontId="5" fillId="0" borderId="0" xfId="0" applyFont="1" applyFill="1" applyBorder="1"/>
    <xf numFmtId="0" fontId="1" fillId="0" borderId="0" xfId="4"/>
    <xf numFmtId="0" fontId="0" fillId="0" borderId="0" xfId="0"/>
    <xf numFmtId="0" fontId="1" fillId="0" borderId="0" xfId="4"/>
    <xf numFmtId="0" fontId="0" fillId="0" borderId="0" xfId="0"/>
    <xf numFmtId="0" fontId="0" fillId="0" borderId="0" xfId="0"/>
    <xf numFmtId="164" fontId="0" fillId="0" borderId="3" xfId="1" applyNumberFormat="1" applyFont="1" applyBorder="1"/>
    <xf numFmtId="0" fontId="0" fillId="0" borderId="0" xfId="0"/>
    <xf numFmtId="0" fontId="1" fillId="0" borderId="0" xfId="4"/>
    <xf numFmtId="0" fontId="0" fillId="0" borderId="0" xfId="0"/>
    <xf numFmtId="0" fontId="0" fillId="0" borderId="0" xfId="0"/>
    <xf numFmtId="9" fontId="8" fillId="0" borderId="0" xfId="2" applyFont="1" applyFill="1"/>
    <xf numFmtId="0" fontId="1" fillId="0" borderId="0" xfId="4"/>
    <xf numFmtId="0" fontId="0" fillId="0" borderId="0" xfId="0"/>
    <xf numFmtId="0" fontId="0" fillId="0" borderId="3" xfId="4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9" fontId="0" fillId="0" borderId="0" xfId="2" applyFont="1" applyFill="1"/>
    <xf numFmtId="9" fontId="8" fillId="0" borderId="0" xfId="0" applyNumberFormat="1" applyFont="1" applyFill="1"/>
    <xf numFmtId="0" fontId="1" fillId="0" borderId="0" xfId="4"/>
    <xf numFmtId="0" fontId="10" fillId="0" borderId="0" xfId="5"/>
    <xf numFmtId="0" fontId="0" fillId="0" borderId="0" xfId="0"/>
    <xf numFmtId="0" fontId="1" fillId="0" borderId="0" xfId="4"/>
    <xf numFmtId="0" fontId="0" fillId="0" borderId="0" xfId="0"/>
    <xf numFmtId="0" fontId="0" fillId="0" borderId="0" xfId="0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right"/>
    </xf>
    <xf numFmtId="0" fontId="8" fillId="0" borderId="0" xfId="0" applyFont="1" applyFill="1" applyBorder="1"/>
    <xf numFmtId="0" fontId="3" fillId="0" borderId="0" xfId="0" applyFont="1" applyFill="1" applyBorder="1" applyAlignment="1"/>
    <xf numFmtId="164" fontId="8" fillId="0" borderId="0" xfId="1" applyNumberFormat="1" applyFont="1" applyFill="1" applyBorder="1" applyAlignment="1">
      <alignment horizontal="right"/>
    </xf>
    <xf numFmtId="0" fontId="8" fillId="0" borderId="0" xfId="4" applyFont="1" applyFill="1" applyBorder="1"/>
    <xf numFmtId="43" fontId="8" fillId="0" borderId="0" xfId="0" applyNumberFormat="1" applyFont="1" applyFill="1" applyBorder="1"/>
    <xf numFmtId="0" fontId="0" fillId="0" borderId="3" xfId="0" applyFill="1" applyBorder="1" applyAlignment="1"/>
    <xf numFmtId="3" fontId="0" fillId="0" borderId="3" xfId="0" applyNumberFormat="1" applyFill="1" applyBorder="1" applyAlignment="1"/>
    <xf numFmtId="3" fontId="8" fillId="0" borderId="3" xfId="0" applyNumberFormat="1" applyFont="1" applyFill="1" applyBorder="1" applyAlignment="1"/>
    <xf numFmtId="3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164" fontId="0" fillId="0" borderId="3" xfId="1" applyNumberFormat="1" applyFont="1" applyFill="1" applyBorder="1"/>
    <xf numFmtId="3" fontId="1" fillId="0" borderId="3" xfId="4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/>
    <xf numFmtId="3" fontId="1" fillId="0" borderId="3" xfId="4" applyNumberFormat="1" applyBorder="1" applyAlignment="1">
      <alignment horizontal="right"/>
    </xf>
    <xf numFmtId="3" fontId="8" fillId="0" borderId="0" xfId="4" applyNumberFormat="1" applyFont="1" applyFill="1"/>
    <xf numFmtId="3" fontId="8" fillId="0" borderId="3" xfId="4" applyNumberFormat="1" applyFont="1" applyFill="1" applyBorder="1"/>
    <xf numFmtId="3" fontId="8" fillId="0" borderId="3" xfId="4" applyNumberFormat="1" applyFont="1" applyFill="1" applyBorder="1" applyAlignment="1">
      <alignment horizontal="right"/>
    </xf>
    <xf numFmtId="1" fontId="8" fillId="0" borderId="3" xfId="3" applyNumberFormat="1" applyFont="1" applyFill="1" applyBorder="1" applyAlignment="1">
      <alignment horizontal="right" wrapText="1"/>
    </xf>
    <xf numFmtId="1" fontId="8" fillId="0" borderId="3" xfId="3" applyNumberFormat="1" applyFont="1" applyFill="1" applyBorder="1" applyAlignment="1">
      <alignment horizontal="right" vertical="center" wrapText="1"/>
    </xf>
    <xf numFmtId="0" fontId="8" fillId="0" borderId="0" xfId="4" applyFont="1" applyFill="1"/>
    <xf numFmtId="164" fontId="0" fillId="0" borderId="3" xfId="1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14" fontId="8" fillId="0" borderId="0" xfId="0" applyNumberFormat="1" applyFont="1" applyFill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9" fillId="0" borderId="3" xfId="3" applyFont="1" applyFill="1" applyBorder="1" applyAlignment="1">
      <alignment horizontal="right" wrapText="1"/>
    </xf>
    <xf numFmtId="164" fontId="8" fillId="0" borderId="2" xfId="1" applyNumberFormat="1" applyFont="1" applyFill="1" applyBorder="1" applyAlignment="1">
      <alignment horizontal="right"/>
    </xf>
    <xf numFmtId="0" fontId="9" fillId="0" borderId="2" xfId="3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3" xfId="3" applyFont="1" applyFill="1" applyBorder="1" applyAlignment="1">
      <alignment horizontal="right" vertical="center" wrapText="1"/>
    </xf>
    <xf numFmtId="0" fontId="9" fillId="0" borderId="3" xfId="3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24" fillId="0" borderId="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3" xfId="3" applyFont="1" applyFill="1" applyBorder="1" applyAlignment="1">
      <alignment horizontal="right" vertical="center"/>
    </xf>
    <xf numFmtId="0" fontId="7" fillId="0" borderId="0" xfId="4" applyFont="1" applyFill="1" applyBorder="1"/>
    <xf numFmtId="0" fontId="9" fillId="0" borderId="0" xfId="0" applyFont="1" applyFill="1" applyBorder="1"/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1" fillId="0" borderId="0" xfId="4" applyFill="1"/>
    <xf numFmtId="0" fontId="9" fillId="0" borderId="3" xfId="0" applyFont="1" applyFill="1" applyBorder="1" applyAlignment="1">
      <alignment horizontal="right"/>
    </xf>
  </cellXfs>
  <cellStyles count="59"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"/>
    <cellStyle name="Comma 2 2" xfId="7"/>
    <cellStyle name="Comma 2 3" xfId="8"/>
    <cellStyle name="Explanatory Text" xfId="33" builtinId="53" customBuiltin="1"/>
    <cellStyle name="Good" xfId="3" builtinId="26" customBuiltin="1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Input" xfId="26" builtinId="20" customBuiltin="1"/>
    <cellStyle name="Linked Cell" xfId="29" builtinId="24" customBuiltin="1"/>
    <cellStyle name="Neutral" xfId="19" builtinId="28" customBuiltin="1"/>
    <cellStyle name="Normal" xfId="0" builtinId="0"/>
    <cellStyle name="Normal 2" xfId="4"/>
    <cellStyle name="Normal 3" xfId="9"/>
    <cellStyle name="Normal 3 2" xfId="10"/>
    <cellStyle name="Normal 3 3" xfId="11"/>
    <cellStyle name="Normal 3 4" xfId="12"/>
    <cellStyle name="Normal 4" xfId="5"/>
    <cellStyle name="Normal 4 2" xfId="13"/>
    <cellStyle name="Note" xfId="32" builtinId="10" customBuiltin="1"/>
    <cellStyle name="Note 2" xfId="14"/>
    <cellStyle name="Output" xfId="27" builtinId="21" customBuiltin="1"/>
    <cellStyle name="Percent" xfId="2" builtinId="5"/>
    <cellStyle name="Percent 2" xfId="15"/>
    <cellStyle name="Percent 2 2" xfId="16"/>
    <cellStyle name="Percent 2 3" xfId="17"/>
    <cellStyle name="Percent 3" xfId="18"/>
    <cellStyle name="Title" xfId="20" builtinId="15" customBuiltin="1"/>
    <cellStyle name="Total" xfId="34" builtinId="25" customBuiltin="1"/>
    <cellStyle name="Warning Text" xfId="3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dnrnas01.stone.ne.gov\share\WaterPlanning\UpperPlatte\UPbasinPlan\PlanImplementation\CurrentPlan\Studies\OAFA\OA%20FA%20INSIGHT\Results\FromHDR_2019-01-02\UpperPlatteOAFAReportandData\POAC_Streamflow_Exceedance_Cap_201805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dnrnas01.stone.ne.gov\share\WaterPlanning\UpperPlatte\UPbasinPlan\PlanImplementation\CurrentPlan\Studies\OAFA\OA%20FA%20INSIGHT\Results\FromHDR_2019-01-02\UpperPlatteOAFAReportandData\POAC_Raw_Data_201805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dnrnas01.stone.ne.gov\share\WaterPlanning\UpperPlatte\UPbasinPlan\PlanImplementation\CurrentPlan\Studies\OAFA\OA%20FA%20INSIGHT\Results\FromHDR_2019-01-02\UpperPlatteOAFAReportandData\POAC_ReqInflow&amp;DS_Demands_201805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dnrnas01.stone.ne.gov\share\WaterPlanning\UpperPlatte\UPbasinPlan\PlanImplementation\CurrentPlan\Studies\OAFA\OA%20FA%20INSIGHT\Results\FromHDR_2019-01-02\UpperPlatteOAFAReportandData\POAC_InstreamFlow_201805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dnrnas01.stone.ne.gov\share\WaterPlanning\UpperPlatte\UPbasinPlan\PlanImplementation\CurrentPlan\Studies\OAFA\OA%20FA%20INSIGHT\Results\FromHDR_2019-01-02\UpperPlatteOAFAReportandData\POAC_SupplyProportioning_201805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th Platte Roscoe"/>
      <sheetName val="North Bend Gage Data"/>
      <sheetName val="Louisville Gage Data"/>
      <sheetName val="Upper Platte Gage Data"/>
      <sheetName val="Flow Exceedance Cap Values"/>
      <sheetName val="Capped Flow"/>
    </sheetNames>
    <sheetDataSet>
      <sheetData sheetId="0">
        <row r="10">
          <cell r="B10">
            <v>459459</v>
          </cell>
          <cell r="E10">
            <v>85495.266152892553</v>
          </cell>
        </row>
        <row r="11">
          <cell r="B11">
            <v>296266.25581134058</v>
          </cell>
          <cell r="E11">
            <v>59728.429318411399</v>
          </cell>
        </row>
        <row r="12">
          <cell r="B12">
            <v>343811.01485422411</v>
          </cell>
          <cell r="E12">
            <v>51299.396120293852</v>
          </cell>
        </row>
        <row r="13">
          <cell r="B13">
            <v>279735.85942504596</v>
          </cell>
          <cell r="E13">
            <v>98890.780436639121</v>
          </cell>
        </row>
        <row r="14">
          <cell r="B14">
            <v>373607.99486696516</v>
          </cell>
          <cell r="E14">
            <v>109935.19510697886</v>
          </cell>
        </row>
        <row r="15">
          <cell r="B15">
            <v>455556.8580643938</v>
          </cell>
          <cell r="E15">
            <v>74011.110476928356</v>
          </cell>
        </row>
        <row r="16">
          <cell r="B16">
            <v>359597.86897922412</v>
          </cell>
          <cell r="E16">
            <v>52540.567118939391</v>
          </cell>
        </row>
        <row r="17">
          <cell r="B17">
            <v>249093.43533388432</v>
          </cell>
          <cell r="E17">
            <v>154836</v>
          </cell>
        </row>
        <row r="18">
          <cell r="B18">
            <v>435825.29442389804</v>
          </cell>
          <cell r="E18">
            <v>113347.22423645545</v>
          </cell>
        </row>
        <row r="19">
          <cell r="B19">
            <v>459459</v>
          </cell>
          <cell r="E19">
            <v>154836</v>
          </cell>
        </row>
        <row r="20">
          <cell r="B20">
            <v>459459</v>
          </cell>
          <cell r="E20">
            <v>154161.90191483014</v>
          </cell>
        </row>
        <row r="21">
          <cell r="B21">
            <v>459459</v>
          </cell>
          <cell r="E21">
            <v>154836</v>
          </cell>
        </row>
        <row r="22">
          <cell r="B22">
            <v>459459</v>
          </cell>
          <cell r="E22">
            <v>46216.368366735536</v>
          </cell>
        </row>
        <row r="23">
          <cell r="B23">
            <v>270482.86931726348</v>
          </cell>
          <cell r="E23">
            <v>60901.391222451777</v>
          </cell>
        </row>
        <row r="24">
          <cell r="B24">
            <v>200399.98448186408</v>
          </cell>
          <cell r="E24">
            <v>53057.305256427921</v>
          </cell>
        </row>
        <row r="25">
          <cell r="B25">
            <v>129609.03256783748</v>
          </cell>
          <cell r="E25">
            <v>48379.526382460972</v>
          </cell>
        </row>
        <row r="26">
          <cell r="B26">
            <v>116215.02415518825</v>
          </cell>
          <cell r="E26">
            <v>48121.842505280074</v>
          </cell>
        </row>
        <row r="27">
          <cell r="B27">
            <v>136073.37474678605</v>
          </cell>
          <cell r="E27">
            <v>110694.65692952255</v>
          </cell>
        </row>
        <row r="28">
          <cell r="B28">
            <v>155891.45282690538</v>
          </cell>
          <cell r="E28">
            <v>46631.756155876952</v>
          </cell>
        </row>
        <row r="29">
          <cell r="B29">
            <v>175562.73989853071</v>
          </cell>
          <cell r="E29">
            <v>108406.57044536273</v>
          </cell>
        </row>
        <row r="30">
          <cell r="B30">
            <v>183594.43233298894</v>
          </cell>
          <cell r="E30">
            <v>53581.083204775023</v>
          </cell>
        </row>
        <row r="31">
          <cell r="B31">
            <v>188376.23613900365</v>
          </cell>
          <cell r="E31">
            <v>154836</v>
          </cell>
        </row>
        <row r="32">
          <cell r="B32">
            <v>459459</v>
          </cell>
          <cell r="E32">
            <v>154836</v>
          </cell>
        </row>
        <row r="33">
          <cell r="B33">
            <v>266809.56788257573</v>
          </cell>
          <cell r="E33">
            <v>154836</v>
          </cell>
        </row>
        <row r="34">
          <cell r="B34">
            <v>381452.87031060609</v>
          </cell>
          <cell r="E34">
            <v>49844.664141735535</v>
          </cell>
        </row>
      </sheetData>
      <sheetData sheetId="1"/>
      <sheetData sheetId="2"/>
      <sheetData sheetId="3">
        <row r="8">
          <cell r="B8">
            <v>67129.919999999998</v>
          </cell>
          <cell r="C8">
            <v>211240.26000000004</v>
          </cell>
          <cell r="E8">
            <v>7157.7000000000007</v>
          </cell>
          <cell r="H8">
            <v>39647.520000000004</v>
          </cell>
          <cell r="I8">
            <v>29898.000000000004</v>
          </cell>
          <cell r="K8">
            <v>52497.72</v>
          </cell>
        </row>
        <row r="9">
          <cell r="B9">
            <v>37378.341</v>
          </cell>
          <cell r="C9">
            <v>129311.40419999993</v>
          </cell>
          <cell r="E9">
            <v>18151.848000000005</v>
          </cell>
          <cell r="H9">
            <v>42587.819999999978</v>
          </cell>
          <cell r="I9">
            <v>10177.200000000003</v>
          </cell>
          <cell r="K9">
            <v>59801.940000000017</v>
          </cell>
        </row>
        <row r="10">
          <cell r="B10">
            <v>41125.590000000004</v>
          </cell>
          <cell r="C10">
            <v>211267.98000000007</v>
          </cell>
          <cell r="E10">
            <v>8095.0320000000002</v>
          </cell>
          <cell r="H10">
            <v>47268.539999999994</v>
          </cell>
          <cell r="I10">
            <v>5165.8200000000006</v>
          </cell>
          <cell r="K10">
            <v>41821.56</v>
          </cell>
        </row>
        <row r="11">
          <cell r="B11">
            <v>36061.740000000005</v>
          </cell>
          <cell r="C11">
            <v>126167.58000000005</v>
          </cell>
          <cell r="E11">
            <v>9842.3820000000014</v>
          </cell>
          <cell r="H11">
            <v>26080.55999999999</v>
          </cell>
          <cell r="I11">
            <v>28824.641999999993</v>
          </cell>
          <cell r="K11">
            <v>23823.359999999997</v>
          </cell>
        </row>
        <row r="12">
          <cell r="B12">
            <v>19011.960000000003</v>
          </cell>
          <cell r="C12">
            <v>185050.80000000008</v>
          </cell>
          <cell r="E12">
            <v>12340.94399999999</v>
          </cell>
          <cell r="H12">
            <v>28979.279999999988</v>
          </cell>
          <cell r="I12">
            <v>46654.74000000002</v>
          </cell>
          <cell r="K12">
            <v>53711.45999999997</v>
          </cell>
        </row>
        <row r="13">
          <cell r="B13">
            <v>10471.823999999997</v>
          </cell>
          <cell r="C13">
            <v>225357.66000000003</v>
          </cell>
          <cell r="E13">
            <v>14295.6</v>
          </cell>
          <cell r="H13">
            <v>16623.090000000004</v>
          </cell>
          <cell r="I13">
            <v>8005.1400000000012</v>
          </cell>
          <cell r="K13">
            <v>43752.05999999999</v>
          </cell>
        </row>
        <row r="14">
          <cell r="B14">
            <v>6044.8409999999976</v>
          </cell>
          <cell r="C14">
            <v>162510.48000000004</v>
          </cell>
          <cell r="E14">
            <v>5012.1719999999996</v>
          </cell>
          <cell r="H14">
            <v>31478.04</v>
          </cell>
          <cell r="I14">
            <v>0</v>
          </cell>
          <cell r="K14">
            <v>47916</v>
          </cell>
        </row>
        <row r="15">
          <cell r="B15">
            <v>21788.513999999996</v>
          </cell>
          <cell r="C15">
            <v>71745.299999999988</v>
          </cell>
          <cell r="E15">
            <v>1098.9000000000001</v>
          </cell>
          <cell r="H15">
            <v>53099.639999999985</v>
          </cell>
          <cell r="I15">
            <v>138994.01999999999</v>
          </cell>
          <cell r="K15">
            <v>3736.6559999999999</v>
          </cell>
        </row>
        <row r="16">
          <cell r="B16">
            <v>15218.28</v>
          </cell>
          <cell r="C16">
            <v>215513.09999999998</v>
          </cell>
          <cell r="E16">
            <v>4217.3999999999996</v>
          </cell>
          <cell r="H16">
            <v>34752.960000000006</v>
          </cell>
          <cell r="I16">
            <v>39994.019999999997</v>
          </cell>
          <cell r="K16">
            <v>18410.039999999997</v>
          </cell>
        </row>
        <row r="17">
          <cell r="B17">
            <v>62263.277999999977</v>
          </cell>
          <cell r="C17">
            <v>219421.81799999997</v>
          </cell>
          <cell r="E17">
            <v>4157.9999999999991</v>
          </cell>
          <cell r="H17">
            <v>51945.3</v>
          </cell>
          <cell r="I17">
            <v>47343.780000000013</v>
          </cell>
          <cell r="K17">
            <v>1552.3200000000002</v>
          </cell>
        </row>
        <row r="18">
          <cell r="B18">
            <v>52615.728000000003</v>
          </cell>
          <cell r="C18">
            <v>321053.03999999986</v>
          </cell>
          <cell r="E18">
            <v>1593.8999999999999</v>
          </cell>
          <cell r="H18">
            <v>52711.56</v>
          </cell>
          <cell r="I18">
            <v>35725.139999999992</v>
          </cell>
          <cell r="K18">
            <v>2865.06</v>
          </cell>
        </row>
        <row r="19">
          <cell r="B19">
            <v>40981.247999999992</v>
          </cell>
          <cell r="C19">
            <v>253085.58000000002</v>
          </cell>
          <cell r="E19">
            <v>1166.22</v>
          </cell>
          <cell r="H19">
            <v>30014.819999999992</v>
          </cell>
          <cell r="I19">
            <v>84633.119999999966</v>
          </cell>
          <cell r="K19">
            <v>1657.26</v>
          </cell>
        </row>
        <row r="20">
          <cell r="B20">
            <v>35889.282000000007</v>
          </cell>
          <cell r="C20">
            <v>213226.2</v>
          </cell>
          <cell r="E20">
            <v>1124.6400000000001</v>
          </cell>
          <cell r="H20">
            <v>30410.819999999989</v>
          </cell>
          <cell r="I20">
            <v>0</v>
          </cell>
          <cell r="K20">
            <v>15814.260000000004</v>
          </cell>
        </row>
        <row r="21">
          <cell r="B21">
            <v>17886.329999999998</v>
          </cell>
          <cell r="C21">
            <v>60883.02</v>
          </cell>
          <cell r="E21">
            <v>3702.5999999999995</v>
          </cell>
          <cell r="H21">
            <v>47589.300000000025</v>
          </cell>
          <cell r="I21">
            <v>0</v>
          </cell>
          <cell r="K21">
            <v>34073.82</v>
          </cell>
        </row>
        <row r="22">
          <cell r="B22">
            <v>61530.48000000001</v>
          </cell>
          <cell r="C22">
            <v>53309.520000000004</v>
          </cell>
          <cell r="E22">
            <v>6825.0599999999995</v>
          </cell>
          <cell r="H22">
            <v>25961.759999999998</v>
          </cell>
          <cell r="I22">
            <v>164.34</v>
          </cell>
          <cell r="K22">
            <v>48238.739999999983</v>
          </cell>
        </row>
        <row r="23">
          <cell r="B23">
            <v>40190.04</v>
          </cell>
          <cell r="C23">
            <v>10948.607999999995</v>
          </cell>
          <cell r="E23">
            <v>3433.32</v>
          </cell>
          <cell r="H23">
            <v>39091.139999999985</v>
          </cell>
          <cell r="I23">
            <v>1498.662</v>
          </cell>
          <cell r="K23">
            <v>93095.639999999985</v>
          </cell>
        </row>
        <row r="24">
          <cell r="B24">
            <v>9991.0799999999981</v>
          </cell>
          <cell r="C24">
            <v>1090.98</v>
          </cell>
          <cell r="E24">
            <v>17837.819999999996</v>
          </cell>
          <cell r="H24">
            <v>28371.420000000002</v>
          </cell>
          <cell r="I24">
            <v>0</v>
          </cell>
          <cell r="K24">
            <v>98924.760000000009</v>
          </cell>
        </row>
        <row r="25">
          <cell r="B25">
            <v>40482.881999999991</v>
          </cell>
          <cell r="C25">
            <v>6508.2600000000011</v>
          </cell>
          <cell r="E25">
            <v>7916.0399999999991</v>
          </cell>
          <cell r="H25">
            <v>41770.079999999994</v>
          </cell>
          <cell r="I25">
            <v>25553.880000000005</v>
          </cell>
          <cell r="K25">
            <v>113000.58000000002</v>
          </cell>
        </row>
        <row r="26">
          <cell r="B26">
            <v>69337.025999999998</v>
          </cell>
          <cell r="C26">
            <v>9110.9699999999957</v>
          </cell>
          <cell r="E26">
            <v>15632.100000000002</v>
          </cell>
          <cell r="H26">
            <v>30520.116000000009</v>
          </cell>
          <cell r="I26">
            <v>0</v>
          </cell>
          <cell r="K26">
            <v>114699.42000000006</v>
          </cell>
        </row>
        <row r="27">
          <cell r="B27">
            <v>75947.849999999977</v>
          </cell>
          <cell r="C27">
            <v>18726.84</v>
          </cell>
          <cell r="E27">
            <v>4407.4800000000005</v>
          </cell>
          <cell r="H27">
            <v>52244.28</v>
          </cell>
          <cell r="I27">
            <v>32675.94</v>
          </cell>
          <cell r="K27">
            <v>74519.27999999997</v>
          </cell>
        </row>
        <row r="28">
          <cell r="B28">
            <v>19401.822</v>
          </cell>
          <cell r="C28">
            <v>21594.869999999992</v>
          </cell>
          <cell r="E28">
            <v>3482.82</v>
          </cell>
          <cell r="H28">
            <v>30337.956000000013</v>
          </cell>
          <cell r="I28">
            <v>2120.5800000000004</v>
          </cell>
          <cell r="K28">
            <v>66526.02</v>
          </cell>
        </row>
        <row r="29">
          <cell r="B29">
            <v>54083.898000000023</v>
          </cell>
          <cell r="C29">
            <v>47618.405999999974</v>
          </cell>
          <cell r="E29">
            <v>8975.34</v>
          </cell>
          <cell r="H29">
            <v>50074.200000000004</v>
          </cell>
          <cell r="I29">
            <v>88426.206000000006</v>
          </cell>
          <cell r="K29">
            <v>74651.939999999988</v>
          </cell>
        </row>
        <row r="30">
          <cell r="B30">
            <v>29239.234199999999</v>
          </cell>
          <cell r="C30">
            <v>94985.351999999926</v>
          </cell>
          <cell r="E30">
            <v>7777.4400000000005</v>
          </cell>
          <cell r="H30">
            <v>53537.22</v>
          </cell>
          <cell r="I30">
            <v>79374.04200000003</v>
          </cell>
          <cell r="K30">
            <v>4247.1000000000004</v>
          </cell>
        </row>
        <row r="31">
          <cell r="B31">
            <v>59347.331999999995</v>
          </cell>
          <cell r="C31">
            <v>27292.320000000003</v>
          </cell>
          <cell r="E31">
            <v>1071.18</v>
          </cell>
          <cell r="H31">
            <v>59360.399999999994</v>
          </cell>
          <cell r="I31">
            <v>23804.411400000008</v>
          </cell>
          <cell r="K31">
            <v>0</v>
          </cell>
        </row>
        <row r="32">
          <cell r="B32">
            <v>34218.161999999997</v>
          </cell>
          <cell r="C32">
            <v>44673.155999999995</v>
          </cell>
          <cell r="E32">
            <v>2908.6200000000003</v>
          </cell>
          <cell r="H32">
            <v>32846.22</v>
          </cell>
          <cell r="I32">
            <v>385.56540000000001</v>
          </cell>
          <cell r="K32">
            <v>90729.54</v>
          </cell>
        </row>
      </sheetData>
      <sheetData sheetId="4"/>
      <sheetData sheetId="5">
        <row r="7">
          <cell r="B7">
            <v>678367.8</v>
          </cell>
          <cell r="C7">
            <v>19922.403600000001</v>
          </cell>
          <cell r="D7">
            <v>231533.27999999997</v>
          </cell>
          <cell r="E7">
            <v>974938.1399999999</v>
          </cell>
          <cell r="G7">
            <v>1103149.08</v>
          </cell>
          <cell r="H7">
            <v>1084501.4399999995</v>
          </cell>
          <cell r="I7">
            <v>1021493.8800000001</v>
          </cell>
          <cell r="J7">
            <v>1305216.0000000005</v>
          </cell>
          <cell r="K7">
            <v>211982.75999999983</v>
          </cell>
          <cell r="N7">
            <v>133046.10000000003</v>
          </cell>
          <cell r="O7">
            <v>191436.3</v>
          </cell>
          <cell r="P7">
            <v>201290.75999999998</v>
          </cell>
          <cell r="Q7">
            <v>490329.17999999993</v>
          </cell>
          <cell r="S7">
            <v>139946.39999999997</v>
          </cell>
          <cell r="T7">
            <v>132739.19999999998</v>
          </cell>
          <cell r="U7">
            <v>146842.74000000002</v>
          </cell>
          <cell r="V7">
            <v>151782.84000000005</v>
          </cell>
          <cell r="W7">
            <v>38122.919999999984</v>
          </cell>
        </row>
        <row r="8">
          <cell r="B8">
            <v>641189.34000000008</v>
          </cell>
          <cell r="C8">
            <v>27026.901000000009</v>
          </cell>
          <cell r="D8">
            <v>208816.73999999993</v>
          </cell>
          <cell r="E8">
            <v>661191.30000000005</v>
          </cell>
          <cell r="G8">
            <v>637645.14000000036</v>
          </cell>
          <cell r="H8">
            <v>613000.08000000007</v>
          </cell>
          <cell r="I8">
            <v>624501.90000000014</v>
          </cell>
          <cell r="J8">
            <v>684881.99999999988</v>
          </cell>
          <cell r="K8">
            <v>126357.65999999997</v>
          </cell>
          <cell r="N8">
            <v>57075.48</v>
          </cell>
          <cell r="O8">
            <v>208654.38000000006</v>
          </cell>
          <cell r="P8">
            <v>194831.99999999997</v>
          </cell>
          <cell r="Q8">
            <v>453909.05999999982</v>
          </cell>
          <cell r="S8">
            <v>113452.02</v>
          </cell>
          <cell r="T8">
            <v>101948.22000000004</v>
          </cell>
          <cell r="U8">
            <v>163490.57999999999</v>
          </cell>
          <cell r="V8">
            <v>172798.56</v>
          </cell>
          <cell r="W8">
            <v>28931.759999999998</v>
          </cell>
        </row>
        <row r="9">
          <cell r="B9">
            <v>576576.00000000023</v>
          </cell>
          <cell r="C9">
            <v>39674.824200000003</v>
          </cell>
          <cell r="D9">
            <v>233707.31999999983</v>
          </cell>
          <cell r="E9">
            <v>650067.66</v>
          </cell>
          <cell r="G9">
            <v>646949.15999999945</v>
          </cell>
          <cell r="H9">
            <v>640151.82000000007</v>
          </cell>
          <cell r="I9">
            <v>801963.3600000001</v>
          </cell>
          <cell r="J9">
            <v>890362.44000000018</v>
          </cell>
          <cell r="K9">
            <v>88630.739999999976</v>
          </cell>
          <cell r="N9">
            <v>78164.460000000021</v>
          </cell>
          <cell r="O9">
            <v>228248.46000000005</v>
          </cell>
          <cell r="P9">
            <v>201744.18000000002</v>
          </cell>
          <cell r="Q9">
            <v>458734.32000000018</v>
          </cell>
          <cell r="S9">
            <v>85429.079999999944</v>
          </cell>
          <cell r="T9">
            <v>48113.999999999993</v>
          </cell>
          <cell r="U9">
            <v>84947.940000000017</v>
          </cell>
          <cell r="V9">
            <v>129771.18000000001</v>
          </cell>
          <cell r="W9">
            <v>25181.639999999981</v>
          </cell>
        </row>
        <row r="10">
          <cell r="B10">
            <v>496783.97999999986</v>
          </cell>
          <cell r="C10">
            <v>35194.499999999985</v>
          </cell>
          <cell r="D10">
            <v>231865.92000000007</v>
          </cell>
          <cell r="E10">
            <v>527173.0199999999</v>
          </cell>
          <cell r="G10">
            <v>508689.71999999986</v>
          </cell>
          <cell r="H10">
            <v>493136.81999999983</v>
          </cell>
          <cell r="I10">
            <v>468079.92000000016</v>
          </cell>
          <cell r="J10">
            <v>554318.02799999993</v>
          </cell>
          <cell r="K10">
            <v>106217.10000000002</v>
          </cell>
          <cell r="N10">
            <v>161554.13999999993</v>
          </cell>
          <cell r="O10">
            <v>265947.66000000009</v>
          </cell>
          <cell r="P10">
            <v>230796.71999999997</v>
          </cell>
          <cell r="Q10">
            <v>494839.62000000011</v>
          </cell>
          <cell r="S10">
            <v>99071.279999999984</v>
          </cell>
          <cell r="T10">
            <v>94149.000000000044</v>
          </cell>
          <cell r="U10">
            <v>100905.94800000003</v>
          </cell>
          <cell r="V10">
            <v>177858.80640000009</v>
          </cell>
          <cell r="W10">
            <v>49668.3</v>
          </cell>
        </row>
        <row r="11">
          <cell r="B11">
            <v>523205.09999999992</v>
          </cell>
          <cell r="C11">
            <v>17411.822999999997</v>
          </cell>
          <cell r="D11">
            <v>229848.3</v>
          </cell>
          <cell r="E11">
            <v>589919.2200000002</v>
          </cell>
          <cell r="G11">
            <v>581712.11999999988</v>
          </cell>
          <cell r="H11">
            <v>562506.12000000034</v>
          </cell>
          <cell r="I11">
            <v>555259.31999999995</v>
          </cell>
          <cell r="J11">
            <v>679125.24900000007</v>
          </cell>
          <cell r="K11">
            <v>141191.82</v>
          </cell>
          <cell r="N11">
            <v>109490.03999999996</v>
          </cell>
          <cell r="O11">
            <v>105314.21999999997</v>
          </cell>
          <cell r="P11">
            <v>123710.39999999995</v>
          </cell>
          <cell r="Q11">
            <v>364508.10000000003</v>
          </cell>
          <cell r="S11">
            <v>114576.66000000005</v>
          </cell>
          <cell r="T11">
            <v>112194.71999999993</v>
          </cell>
          <cell r="U11">
            <v>110442.42000000004</v>
          </cell>
          <cell r="V11">
            <v>198617.75999999998</v>
          </cell>
          <cell r="W11">
            <v>41461.200000000004</v>
          </cell>
        </row>
        <row r="12">
          <cell r="B12">
            <v>529281.72</v>
          </cell>
          <cell r="C12">
            <v>24675.750000000015</v>
          </cell>
          <cell r="D12">
            <v>222542.10000000006</v>
          </cell>
          <cell r="E12">
            <v>665715.60000000033</v>
          </cell>
          <cell r="G12">
            <v>704680.02000000014</v>
          </cell>
          <cell r="H12">
            <v>739476.53999999992</v>
          </cell>
          <cell r="I12">
            <v>731477.33999999985</v>
          </cell>
          <cell r="J12">
            <v>1018650.6000000001</v>
          </cell>
          <cell r="K12">
            <v>185345.82</v>
          </cell>
          <cell r="N12">
            <v>175948.74000000005</v>
          </cell>
          <cell r="O12">
            <v>59126.759999999987</v>
          </cell>
          <cell r="P12">
            <v>87939.719999999987</v>
          </cell>
          <cell r="Q12">
            <v>240950.15999999997</v>
          </cell>
          <cell r="S12">
            <v>155156.75999999998</v>
          </cell>
          <cell r="T12">
            <v>227668.32000000004</v>
          </cell>
          <cell r="U12">
            <v>303308.2799999998</v>
          </cell>
          <cell r="V12">
            <v>552124.9800000001</v>
          </cell>
          <cell r="W12">
            <v>47377.440000000017</v>
          </cell>
        </row>
        <row r="13">
          <cell r="B13">
            <v>641628.9</v>
          </cell>
          <cell r="C13">
            <v>21067.793999999994</v>
          </cell>
          <cell r="D13">
            <v>206985.24</v>
          </cell>
          <cell r="E13">
            <v>746444.15999999992</v>
          </cell>
          <cell r="G13">
            <v>811899.00000000012</v>
          </cell>
          <cell r="H13">
            <v>843973.02</v>
          </cell>
          <cell r="I13">
            <v>902672.09999999986</v>
          </cell>
          <cell r="J13">
            <v>1221398.6400000001</v>
          </cell>
          <cell r="K13">
            <v>151804.62000000008</v>
          </cell>
          <cell r="N13">
            <v>142645.14000000004</v>
          </cell>
          <cell r="O13">
            <v>178297.02</v>
          </cell>
          <cell r="P13">
            <v>168430.68000000005</v>
          </cell>
          <cell r="Q13">
            <v>409028.40000000014</v>
          </cell>
          <cell r="S13">
            <v>110468.16</v>
          </cell>
          <cell r="T13">
            <v>115491.42</v>
          </cell>
          <cell r="U13">
            <v>159455.33999999994</v>
          </cell>
          <cell r="V13">
            <v>188531.63999999996</v>
          </cell>
          <cell r="W13">
            <v>32202.719999999994</v>
          </cell>
        </row>
        <row r="14">
          <cell r="B14">
            <v>639375.6599999998</v>
          </cell>
          <cell r="C14">
            <v>19324.799999999988</v>
          </cell>
          <cell r="D14">
            <v>225882.36</v>
          </cell>
          <cell r="E14">
            <v>545288.03999999992</v>
          </cell>
          <cell r="G14">
            <v>590596.38</v>
          </cell>
          <cell r="H14">
            <v>629853.83999999985</v>
          </cell>
          <cell r="I14">
            <v>688632.12000000011</v>
          </cell>
          <cell r="J14">
            <v>878516.1</v>
          </cell>
          <cell r="K14">
            <v>117669.42</v>
          </cell>
          <cell r="N14">
            <v>442254.77999999991</v>
          </cell>
          <cell r="O14">
            <v>259229.51999999987</v>
          </cell>
          <cell r="P14">
            <v>237144.59999999989</v>
          </cell>
          <cell r="Q14">
            <v>796167.89999999909</v>
          </cell>
          <cell r="S14">
            <v>602587.26</v>
          </cell>
          <cell r="T14">
            <v>602965.44000000006</v>
          </cell>
          <cell r="U14">
            <v>668911.320000001</v>
          </cell>
          <cell r="V14">
            <v>754609.67999999935</v>
          </cell>
          <cell r="W14">
            <v>192101.58000000002</v>
          </cell>
        </row>
        <row r="15">
          <cell r="B15">
            <v>680779.44000000018</v>
          </cell>
          <cell r="C15">
            <v>61857.971999999994</v>
          </cell>
          <cell r="D15">
            <v>231539.22000000009</v>
          </cell>
          <cell r="E15">
            <v>1043808.4800000001</v>
          </cell>
          <cell r="G15">
            <v>995504.40000000014</v>
          </cell>
          <cell r="H15">
            <v>966251.88000000024</v>
          </cell>
          <cell r="I15">
            <v>1003580.82</v>
          </cell>
          <cell r="J15">
            <v>1073094.6599999997</v>
          </cell>
          <cell r="K15">
            <v>170636.39999999991</v>
          </cell>
          <cell r="N15">
            <v>288695.87999999995</v>
          </cell>
          <cell r="O15">
            <v>167452.55999999988</v>
          </cell>
          <cell r="P15">
            <v>174738.95999999993</v>
          </cell>
          <cell r="Q15">
            <v>494362.43999999983</v>
          </cell>
          <cell r="S15">
            <v>257708.87999999998</v>
          </cell>
          <cell r="T15">
            <v>281221.38</v>
          </cell>
          <cell r="U15">
            <v>412234.02000000014</v>
          </cell>
          <cell r="V15">
            <v>442642.86000000004</v>
          </cell>
          <cell r="W15">
            <v>55293.479999999996</v>
          </cell>
        </row>
        <row r="16">
          <cell r="B16">
            <v>942381.00000000012</v>
          </cell>
          <cell r="C16">
            <v>32050.260000000002</v>
          </cell>
          <cell r="D16">
            <v>240526.44000000006</v>
          </cell>
          <cell r="E16">
            <v>1156209.1200000001</v>
          </cell>
          <cell r="G16">
            <v>1134326.1599999997</v>
          </cell>
          <cell r="H16">
            <v>1190330.46</v>
          </cell>
          <cell r="I16">
            <v>1242192.6000000001</v>
          </cell>
          <cell r="J16">
            <v>1596875.9400000004</v>
          </cell>
          <cell r="K16">
            <v>221389.74</v>
          </cell>
          <cell r="N16">
            <v>538983.72</v>
          </cell>
          <cell r="O16">
            <v>232299.5400000001</v>
          </cell>
          <cell r="P16">
            <v>218556.36000000004</v>
          </cell>
          <cell r="Q16">
            <v>737540.09999999928</v>
          </cell>
          <cell r="S16">
            <v>397718.6399999999</v>
          </cell>
          <cell r="T16">
            <v>407895.84</v>
          </cell>
          <cell r="U16">
            <v>438740.28000000009</v>
          </cell>
          <cell r="V16">
            <v>472085.46000000008</v>
          </cell>
          <cell r="W16">
            <v>173323.25999999992</v>
          </cell>
        </row>
        <row r="17">
          <cell r="B17">
            <v>947622.06000000029</v>
          </cell>
          <cell r="C17">
            <v>259524.89639999997</v>
          </cell>
          <cell r="D17">
            <v>434487.24</v>
          </cell>
          <cell r="E17">
            <v>1601453.7</v>
          </cell>
          <cell r="G17">
            <v>1663655.4</v>
          </cell>
          <cell r="H17">
            <v>1698523.1999999997</v>
          </cell>
          <cell r="I17">
            <v>1786593.6000000006</v>
          </cell>
          <cell r="J17">
            <v>2088721.7999999998</v>
          </cell>
          <cell r="K17">
            <v>365852.52</v>
          </cell>
          <cell r="N17">
            <v>177665.4</v>
          </cell>
          <cell r="O17">
            <v>222934.13999999987</v>
          </cell>
          <cell r="P17">
            <v>223411.32000000007</v>
          </cell>
          <cell r="Q17">
            <v>603426.7799999998</v>
          </cell>
          <cell r="S17">
            <v>260427.41999999987</v>
          </cell>
          <cell r="T17">
            <v>230796.72000000003</v>
          </cell>
          <cell r="U17">
            <v>332010.36</v>
          </cell>
          <cell r="V17">
            <v>421654.85999999993</v>
          </cell>
          <cell r="W17">
            <v>98776.260000000024</v>
          </cell>
        </row>
        <row r="18">
          <cell r="B18">
            <v>874607.58000000007</v>
          </cell>
          <cell r="C18">
            <v>39561.588000000003</v>
          </cell>
          <cell r="D18">
            <v>243211.32000000007</v>
          </cell>
          <cell r="E18">
            <v>1161586.8000000003</v>
          </cell>
          <cell r="G18">
            <v>1126570.5</v>
          </cell>
          <cell r="H18">
            <v>1147905</v>
          </cell>
          <cell r="I18">
            <v>1310106.6000000003</v>
          </cell>
          <cell r="J18">
            <v>1501891.3800000004</v>
          </cell>
          <cell r="K18">
            <v>219667.14</v>
          </cell>
          <cell r="N18">
            <v>531576.5399999998</v>
          </cell>
          <cell r="O18">
            <v>192356.99999999994</v>
          </cell>
          <cell r="P18">
            <v>186692.21999999997</v>
          </cell>
          <cell r="Q18">
            <v>754667.09999999951</v>
          </cell>
          <cell r="S18">
            <v>536875.0199999999</v>
          </cell>
          <cell r="T18">
            <v>545822.6399999999</v>
          </cell>
          <cell r="U18">
            <v>610275.60000000068</v>
          </cell>
          <cell r="V18">
            <v>736698.59999999928</v>
          </cell>
          <cell r="W18">
            <v>183878.63999999996</v>
          </cell>
        </row>
        <row r="19">
          <cell r="B19">
            <v>756417.41999999993</v>
          </cell>
          <cell r="C19">
            <v>115515.04139999993</v>
          </cell>
          <cell r="D19">
            <v>285317.99999999994</v>
          </cell>
          <cell r="E19">
            <v>1435135.6799999992</v>
          </cell>
          <cell r="G19">
            <v>1460469.7799999998</v>
          </cell>
          <cell r="H19">
            <v>1568629.2600000002</v>
          </cell>
          <cell r="I19">
            <v>1527094.7999999998</v>
          </cell>
          <cell r="J19">
            <v>1615105.8000000003</v>
          </cell>
          <cell r="K19">
            <v>327955.31999999995</v>
          </cell>
          <cell r="N19">
            <v>123037.20000000003</v>
          </cell>
          <cell r="O19">
            <v>331319.33999999962</v>
          </cell>
          <cell r="P19">
            <v>280237.32</v>
          </cell>
          <cell r="Q19">
            <v>564725.69999999995</v>
          </cell>
          <cell r="S19">
            <v>167258.52000000002</v>
          </cell>
          <cell r="T19">
            <v>167755.49999999997</v>
          </cell>
          <cell r="U19">
            <v>185660.63999999998</v>
          </cell>
          <cell r="V19">
            <v>169830.54000000004</v>
          </cell>
          <cell r="W19">
            <v>23603.58</v>
          </cell>
        </row>
        <row r="20">
          <cell r="B20">
            <v>646398.71999999997</v>
          </cell>
          <cell r="C20">
            <v>18657.777600000005</v>
          </cell>
          <cell r="D20">
            <v>228670.19999999998</v>
          </cell>
          <cell r="E20">
            <v>647275.85999999987</v>
          </cell>
          <cell r="G20">
            <v>612277.37999999989</v>
          </cell>
          <cell r="H20">
            <v>659779.55999999994</v>
          </cell>
          <cell r="I20">
            <v>735853.14000000013</v>
          </cell>
          <cell r="J20">
            <v>1010936.5200000003</v>
          </cell>
          <cell r="K20">
            <v>156184.38000000006</v>
          </cell>
          <cell r="N20">
            <v>164334.06</v>
          </cell>
          <cell r="O20">
            <v>241967.87999999989</v>
          </cell>
          <cell r="P20">
            <v>226446.65999999992</v>
          </cell>
          <cell r="Q20">
            <v>514475.28000000014</v>
          </cell>
          <cell r="S20">
            <v>135677.52000000002</v>
          </cell>
          <cell r="T20">
            <v>119431.62</v>
          </cell>
          <cell r="U20">
            <v>135034.01999999999</v>
          </cell>
          <cell r="V20">
            <v>130333.49999999994</v>
          </cell>
          <cell r="W20">
            <v>38821.860000000008</v>
          </cell>
        </row>
        <row r="21">
          <cell r="B21">
            <v>587234.34000000008</v>
          </cell>
          <cell r="C21">
            <v>23898.560400000013</v>
          </cell>
          <cell r="D21">
            <v>186118.02</v>
          </cell>
          <cell r="E21">
            <v>501700.32000000018</v>
          </cell>
          <cell r="G21">
            <v>465361.37999999989</v>
          </cell>
          <cell r="H21">
            <v>454750.55999999994</v>
          </cell>
          <cell r="I21">
            <v>528667.92000000004</v>
          </cell>
          <cell r="J21">
            <v>621567.54</v>
          </cell>
          <cell r="K21">
            <v>92580.84</v>
          </cell>
          <cell r="N21">
            <v>28199.159999999996</v>
          </cell>
          <cell r="O21">
            <v>234596.33999999982</v>
          </cell>
          <cell r="P21">
            <v>203403.41999999995</v>
          </cell>
          <cell r="Q21">
            <v>466141.50000000006</v>
          </cell>
          <cell r="S21">
            <v>57762.540000000008</v>
          </cell>
          <cell r="T21">
            <v>37859.777999999991</v>
          </cell>
          <cell r="U21">
            <v>16733.752200000006</v>
          </cell>
          <cell r="V21">
            <v>16262.9478</v>
          </cell>
          <cell r="W21">
            <v>27171.540000000008</v>
          </cell>
        </row>
        <row r="22">
          <cell r="B22">
            <v>409753.08000000019</v>
          </cell>
          <cell r="C22">
            <v>8412.4259999999977</v>
          </cell>
          <cell r="D22">
            <v>192380.76</v>
          </cell>
          <cell r="E22">
            <v>343595.34000000014</v>
          </cell>
          <cell r="G22">
            <v>320288.76000000013</v>
          </cell>
          <cell r="H22">
            <v>271978.74</v>
          </cell>
          <cell r="I22">
            <v>316025.82000000007</v>
          </cell>
          <cell r="J22">
            <v>360972.41399999999</v>
          </cell>
          <cell r="K22">
            <v>58800.06</v>
          </cell>
          <cell r="N22">
            <v>34842.05999999999</v>
          </cell>
          <cell r="O22">
            <v>146735.82000000004</v>
          </cell>
          <cell r="P22">
            <v>116602.2</v>
          </cell>
          <cell r="Q22">
            <v>333681.48</v>
          </cell>
          <cell r="S22">
            <v>28844.639999999996</v>
          </cell>
          <cell r="T22">
            <v>7644.7800000000025</v>
          </cell>
          <cell r="U22">
            <v>29318.256000000001</v>
          </cell>
          <cell r="V22">
            <v>31295.523599999997</v>
          </cell>
          <cell r="W22">
            <v>20821.68</v>
          </cell>
        </row>
        <row r="23">
          <cell r="B23">
            <v>367915.67999999993</v>
          </cell>
          <cell r="C23">
            <v>7099.6859999999997</v>
          </cell>
          <cell r="D23">
            <v>169317.72000000003</v>
          </cell>
          <cell r="E23">
            <v>282829.14</v>
          </cell>
          <cell r="G23">
            <v>210218.58000000002</v>
          </cell>
          <cell r="H23">
            <v>195980.00400000002</v>
          </cell>
          <cell r="I23">
            <v>196309.08000000002</v>
          </cell>
          <cell r="J23">
            <v>200334.41999999998</v>
          </cell>
          <cell r="K23">
            <v>50379.120000000039</v>
          </cell>
          <cell r="N23">
            <v>44161.92000000002</v>
          </cell>
          <cell r="O23">
            <v>67826.880000000019</v>
          </cell>
          <cell r="P23">
            <v>70246.439999999988</v>
          </cell>
          <cell r="Q23">
            <v>288939.41999999993</v>
          </cell>
          <cell r="S23">
            <v>24742.079999999998</v>
          </cell>
          <cell r="T23">
            <v>5578.0560000000014</v>
          </cell>
          <cell r="U23">
            <v>6046.3062000000009</v>
          </cell>
          <cell r="V23">
            <v>7432.8407999999999</v>
          </cell>
          <cell r="W23">
            <v>23009.579999999998</v>
          </cell>
        </row>
        <row r="24">
          <cell r="B24">
            <v>393653.69999999984</v>
          </cell>
          <cell r="C24">
            <v>6326.4959999999992</v>
          </cell>
          <cell r="D24">
            <v>179534.52</v>
          </cell>
          <cell r="E24">
            <v>236497.13999999998</v>
          </cell>
          <cell r="G24">
            <v>260419.5</v>
          </cell>
          <cell r="H24">
            <v>260257.14000000007</v>
          </cell>
          <cell r="I24">
            <v>272748.70260000008</v>
          </cell>
          <cell r="J24">
            <v>377857.71539999999</v>
          </cell>
          <cell r="K24">
            <v>66060.72</v>
          </cell>
          <cell r="N24">
            <v>105834.95999999998</v>
          </cell>
          <cell r="O24">
            <v>72747.377999999982</v>
          </cell>
          <cell r="P24">
            <v>78077.34</v>
          </cell>
          <cell r="Q24">
            <v>323268.66000000015</v>
          </cell>
          <cell r="S24">
            <v>80332.56</v>
          </cell>
          <cell r="T24">
            <v>75844.493999999992</v>
          </cell>
          <cell r="U24">
            <v>74360.899800000028</v>
          </cell>
          <cell r="V24">
            <v>104712.97320000001</v>
          </cell>
          <cell r="W24">
            <v>58461.479999999989</v>
          </cell>
        </row>
        <row r="25">
          <cell r="B25">
            <v>413717.04000000004</v>
          </cell>
          <cell r="C25">
            <v>3437.8739999999989</v>
          </cell>
          <cell r="D25">
            <v>169151.40000000002</v>
          </cell>
          <cell r="E25">
            <v>255932.82000000007</v>
          </cell>
          <cell r="G25">
            <v>258924.59999999998</v>
          </cell>
          <cell r="H25">
            <v>162468.90000000002</v>
          </cell>
          <cell r="I25">
            <v>229703.75999999995</v>
          </cell>
          <cell r="J25">
            <v>256954.57919999998</v>
          </cell>
          <cell r="K25">
            <v>82872.899999999994</v>
          </cell>
          <cell r="N25">
            <v>44585.64</v>
          </cell>
          <cell r="O25">
            <v>117740.69999999995</v>
          </cell>
          <cell r="P25">
            <v>92970.900000000009</v>
          </cell>
          <cell r="Q25">
            <v>311343.11999999994</v>
          </cell>
          <cell r="S25">
            <v>17364.599999999999</v>
          </cell>
          <cell r="T25">
            <v>5749.9199999999919</v>
          </cell>
          <cell r="U25">
            <v>9360.9450000000015</v>
          </cell>
          <cell r="V25">
            <v>6675.6690000000008</v>
          </cell>
          <cell r="W25">
            <v>20778.120000000006</v>
          </cell>
        </row>
        <row r="26">
          <cell r="B26">
            <v>382698.3600000001</v>
          </cell>
          <cell r="C26">
            <v>3234.9240000000004</v>
          </cell>
          <cell r="D26">
            <v>223250.93999999994</v>
          </cell>
          <cell r="E26">
            <v>303062.75999999989</v>
          </cell>
          <cell r="G26">
            <v>382381.56000000006</v>
          </cell>
          <cell r="H26">
            <v>372531.06</v>
          </cell>
          <cell r="I26">
            <v>512039.87999999995</v>
          </cell>
          <cell r="J26">
            <v>574027.73999999976</v>
          </cell>
          <cell r="K26">
            <v>89688.060000000012</v>
          </cell>
          <cell r="N26">
            <v>46981.439999999988</v>
          </cell>
          <cell r="O26">
            <v>83556.376200000013</v>
          </cell>
          <cell r="P26">
            <v>97311.06</v>
          </cell>
          <cell r="Q26">
            <v>296821.8000000001</v>
          </cell>
          <cell r="S26">
            <v>181989.72</v>
          </cell>
          <cell r="T26">
            <v>167062.49999999997</v>
          </cell>
          <cell r="U26">
            <v>247456.44000000006</v>
          </cell>
          <cell r="V26">
            <v>347998.85999999993</v>
          </cell>
          <cell r="W26">
            <v>53262</v>
          </cell>
        </row>
        <row r="27">
          <cell r="B27">
            <v>432550.79999999981</v>
          </cell>
          <cell r="C27">
            <v>7872.48</v>
          </cell>
          <cell r="D27">
            <v>187785.18</v>
          </cell>
          <cell r="E27">
            <v>265555.61999999994</v>
          </cell>
          <cell r="G27">
            <v>385284.24</v>
          </cell>
          <cell r="H27">
            <v>367109.81999999989</v>
          </cell>
          <cell r="I27">
            <v>476785.9800000001</v>
          </cell>
          <cell r="J27">
            <v>582551.64000000013</v>
          </cell>
          <cell r="K27">
            <v>99332.640000000043</v>
          </cell>
          <cell r="N27">
            <v>109363.31999999999</v>
          </cell>
          <cell r="O27">
            <v>116501.22</v>
          </cell>
          <cell r="P27">
            <v>104013.35999999994</v>
          </cell>
          <cell r="Q27">
            <v>255625.9200000001</v>
          </cell>
          <cell r="S27">
            <v>120599.81999999999</v>
          </cell>
          <cell r="T27">
            <v>134933.04000000007</v>
          </cell>
          <cell r="U27">
            <v>302743.98000000004</v>
          </cell>
          <cell r="V27">
            <v>372063.78000000009</v>
          </cell>
          <cell r="W27">
            <v>28399.139999999996</v>
          </cell>
        </row>
        <row r="28">
          <cell r="B28">
            <v>488576.88000000012</v>
          </cell>
          <cell r="C28">
            <v>30493.583999999999</v>
          </cell>
          <cell r="D28">
            <v>240449.21999999997</v>
          </cell>
          <cell r="E28">
            <v>350877.7799999998</v>
          </cell>
          <cell r="G28">
            <v>426359.34</v>
          </cell>
          <cell r="H28">
            <v>390600.54000000015</v>
          </cell>
          <cell r="I28">
            <v>537366.05999999994</v>
          </cell>
          <cell r="J28">
            <v>702117.90000000014</v>
          </cell>
          <cell r="K28">
            <v>79378.200000000012</v>
          </cell>
          <cell r="N28">
            <v>177164.46000000005</v>
          </cell>
          <cell r="O28">
            <v>54636.120000000017</v>
          </cell>
          <cell r="P28">
            <v>66040.920000000027</v>
          </cell>
          <cell r="Q28">
            <v>379377.9</v>
          </cell>
          <cell r="S28">
            <v>135633.96</v>
          </cell>
          <cell r="T28">
            <v>108220.86000000003</v>
          </cell>
          <cell r="U28">
            <v>139081.14000000004</v>
          </cell>
          <cell r="V28">
            <v>222803.45999999996</v>
          </cell>
          <cell r="W28">
            <v>113378.76000000001</v>
          </cell>
        </row>
        <row r="29">
          <cell r="B29">
            <v>585963.17999999993</v>
          </cell>
          <cell r="C29">
            <v>43798.609800000006</v>
          </cell>
          <cell r="D29">
            <v>264729.96000000008</v>
          </cell>
          <cell r="E29">
            <v>691744.68000000017</v>
          </cell>
          <cell r="G29">
            <v>752063.39999999991</v>
          </cell>
          <cell r="H29">
            <v>822773.15999999968</v>
          </cell>
          <cell r="I29">
            <v>877652.8200000003</v>
          </cell>
          <cell r="J29">
            <v>1056955.6799999997</v>
          </cell>
          <cell r="K29">
            <v>334707.12</v>
          </cell>
          <cell r="N29">
            <v>685834.37999999977</v>
          </cell>
          <cell r="O29">
            <v>157259.51999999996</v>
          </cell>
          <cell r="P29">
            <v>164112.30000000002</v>
          </cell>
          <cell r="Q29">
            <v>594653.39999999991</v>
          </cell>
          <cell r="S29">
            <v>462282.48000000004</v>
          </cell>
          <cell r="T29">
            <v>433119.06000000006</v>
          </cell>
          <cell r="U29">
            <v>504874.26000000036</v>
          </cell>
          <cell r="V29">
            <v>655235.45999999973</v>
          </cell>
          <cell r="W29">
            <v>133026.29999999999</v>
          </cell>
        </row>
        <row r="30">
          <cell r="B30">
            <v>1439287.7399999998</v>
          </cell>
          <cell r="C30">
            <v>500613.69599999982</v>
          </cell>
          <cell r="D30">
            <v>620652.78000000026</v>
          </cell>
          <cell r="E30">
            <v>1401346.9800000004</v>
          </cell>
          <cell r="G30">
            <v>1468057.1399999992</v>
          </cell>
          <cell r="H30">
            <v>1463053.6800000002</v>
          </cell>
          <cell r="I30">
            <v>1491724.0799999996</v>
          </cell>
          <cell r="J30">
            <v>1424568.42</v>
          </cell>
          <cell r="K30">
            <v>177974.28</v>
          </cell>
          <cell r="N30">
            <v>1009978.2000000001</v>
          </cell>
          <cell r="O30">
            <v>429897.59999999934</v>
          </cell>
          <cell r="P30">
            <v>393465.59999999934</v>
          </cell>
          <cell r="Q30">
            <v>881654.39999999874</v>
          </cell>
          <cell r="S30">
            <v>808533</v>
          </cell>
          <cell r="T30">
            <v>791267.4</v>
          </cell>
          <cell r="U30">
            <v>849558.60000000137</v>
          </cell>
          <cell r="V30">
            <v>426587.04000000004</v>
          </cell>
          <cell r="W30">
            <v>150418.61999999994</v>
          </cell>
        </row>
        <row r="31">
          <cell r="B31">
            <v>856680.65999999992</v>
          </cell>
          <cell r="C31">
            <v>362822.26859999978</v>
          </cell>
          <cell r="D31">
            <v>528281.8199999996</v>
          </cell>
          <cell r="E31">
            <v>1310015.5199999991</v>
          </cell>
          <cell r="G31">
            <v>1410949.9799999995</v>
          </cell>
          <cell r="H31">
            <v>1406692.98</v>
          </cell>
          <cell r="I31">
            <v>1462572.5400000003</v>
          </cell>
          <cell r="J31">
            <v>2250986.7599999979</v>
          </cell>
          <cell r="K31">
            <v>277669.25999999989</v>
          </cell>
          <cell r="N31">
            <v>77170.499999999985</v>
          </cell>
          <cell r="O31">
            <v>229377.06000000003</v>
          </cell>
          <cell r="P31">
            <v>167725.79999999999</v>
          </cell>
          <cell r="Q31">
            <v>423799.19999999972</v>
          </cell>
          <cell r="S31">
            <v>55053.900000000023</v>
          </cell>
          <cell r="T31">
            <v>22969.009799999989</v>
          </cell>
          <cell r="U31">
            <v>25040.3868</v>
          </cell>
          <cell r="V31">
            <v>739233.00000000023</v>
          </cell>
          <cell r="W31">
            <v>21247.38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oir Evap"/>
      <sheetName val="SWCU"/>
      <sheetName val="SWDemand"/>
      <sheetName val="Net SW Loss"/>
      <sheetName val="GWCU"/>
      <sheetName val="Hydro Demand"/>
      <sheetName val="Mac EOM "/>
      <sheetName val="GW Depletions"/>
      <sheetName val="M&amp;I COHYST Summary"/>
      <sheetName val="InducedRchrg"/>
    </sheetNames>
    <sheetDataSet>
      <sheetData sheetId="0">
        <row r="11">
          <cell r="B11">
            <v>4121.7999999999993</v>
          </cell>
          <cell r="C11">
            <v>68053.967114384082</v>
          </cell>
          <cell r="D11">
            <v>960.22674258544362</v>
          </cell>
          <cell r="E11">
            <v>11516.400465025141</v>
          </cell>
          <cell r="F11">
            <v>1920.83366135398</v>
          </cell>
          <cell r="I11">
            <v>3992</v>
          </cell>
          <cell r="J11">
            <v>53490.4375616385</v>
          </cell>
          <cell r="K11">
            <v>911.91031260645173</v>
          </cell>
          <cell r="L11">
            <v>5419.7362265317397</v>
          </cell>
          <cell r="M11">
            <v>2457.7939229188032</v>
          </cell>
        </row>
        <row r="12">
          <cell r="B12">
            <v>3504.3999999999996</v>
          </cell>
          <cell r="C12">
            <v>69535.657181174873</v>
          </cell>
          <cell r="D12">
            <v>900.01462776239089</v>
          </cell>
          <cell r="E12">
            <v>12783.748747081296</v>
          </cell>
          <cell r="F12">
            <v>1940.8743995276459</v>
          </cell>
          <cell r="I12">
            <v>3661.9</v>
          </cell>
          <cell r="J12">
            <v>48725.072597228827</v>
          </cell>
          <cell r="K12">
            <v>997.00305020083579</v>
          </cell>
          <cell r="L12">
            <v>4692.6436157326789</v>
          </cell>
          <cell r="M12">
            <v>2304.1346784601337</v>
          </cell>
        </row>
        <row r="13">
          <cell r="B13">
            <v>2673.2999999999997</v>
          </cell>
          <cell r="C13">
            <v>41766.757003027633</v>
          </cell>
          <cell r="D13">
            <v>734.85849895368631</v>
          </cell>
          <cell r="E13">
            <v>11927.762701018914</v>
          </cell>
          <cell r="F13">
            <v>1451.6244902188173</v>
          </cell>
          <cell r="I13">
            <v>3237.1000000000004</v>
          </cell>
          <cell r="J13">
            <v>48158.772837005083</v>
          </cell>
          <cell r="K13">
            <v>953.71591782672544</v>
          </cell>
          <cell r="L13">
            <v>5418.088237136767</v>
          </cell>
          <cell r="M13">
            <v>2599.4170464811746</v>
          </cell>
        </row>
        <row r="14">
          <cell r="B14">
            <v>2763.1000000000004</v>
          </cell>
          <cell r="C14">
            <v>58166.085151715102</v>
          </cell>
          <cell r="D14">
            <v>672.92866201061281</v>
          </cell>
          <cell r="E14">
            <v>10936.288198916367</v>
          </cell>
          <cell r="F14">
            <v>1617.6758098249998</v>
          </cell>
          <cell r="I14">
            <v>3780.8</v>
          </cell>
          <cell r="J14">
            <v>40930.814804077934</v>
          </cell>
          <cell r="K14">
            <v>813.93301996921491</v>
          </cell>
          <cell r="L14">
            <v>6037.8138332522121</v>
          </cell>
          <cell r="M14">
            <v>2502.7798450424989</v>
          </cell>
        </row>
        <row r="15">
          <cell r="B15">
            <v>3300.3</v>
          </cell>
          <cell r="C15">
            <v>65450.002068449699</v>
          </cell>
          <cell r="D15">
            <v>686.42940038462723</v>
          </cell>
          <cell r="E15">
            <v>10898.612390143273</v>
          </cell>
          <cell r="F15">
            <v>1892.2688584466273</v>
          </cell>
          <cell r="I15">
            <v>3318.7999999999997</v>
          </cell>
          <cell r="J15">
            <v>29580.937637742136</v>
          </cell>
          <cell r="K15">
            <v>676.10124285284826</v>
          </cell>
          <cell r="L15">
            <v>6232.9296168229466</v>
          </cell>
          <cell r="M15">
            <v>1030.3357706033407</v>
          </cell>
        </row>
        <row r="16">
          <cell r="B16">
            <v>2658.2</v>
          </cell>
          <cell r="C16">
            <v>38072.481450193132</v>
          </cell>
          <cell r="D16">
            <v>772.80495168178936</v>
          </cell>
          <cell r="E16">
            <v>12545.560164609913</v>
          </cell>
          <cell r="F16">
            <v>1728.4146868000641</v>
          </cell>
          <cell r="I16">
            <v>3899.8999999999996</v>
          </cell>
          <cell r="J16">
            <v>30919.404270175204</v>
          </cell>
          <cell r="K16">
            <v>681.1039203869276</v>
          </cell>
          <cell r="L16">
            <v>2685.2954002383572</v>
          </cell>
          <cell r="M16">
            <v>1476.4917159458612</v>
          </cell>
        </row>
        <row r="17">
          <cell r="B17">
            <v>3861</v>
          </cell>
          <cell r="C17">
            <v>56843.273373998658</v>
          </cell>
          <cell r="D17">
            <v>878.84729599701359</v>
          </cell>
          <cell r="E17">
            <v>11743.258811392025</v>
          </cell>
          <cell r="F17">
            <v>1286.4726970919971</v>
          </cell>
          <cell r="I17">
            <v>3722.7000000000003</v>
          </cell>
          <cell r="J17">
            <v>45062.96885701274</v>
          </cell>
          <cell r="K17">
            <v>722.86181174870273</v>
          </cell>
          <cell r="L17">
            <v>3235.7952760162702</v>
          </cell>
          <cell r="M17">
            <v>2094.5963306846929</v>
          </cell>
        </row>
        <row r="18">
          <cell r="B18">
            <v>3364.3999999999996</v>
          </cell>
          <cell r="C18">
            <v>65341.637661781351</v>
          </cell>
          <cell r="D18">
            <v>272.53900646648151</v>
          </cell>
          <cell r="E18">
            <v>8466.9767236975731</v>
          </cell>
          <cell r="F18">
            <v>161.40229042771421</v>
          </cell>
          <cell r="I18">
            <v>3969.6</v>
          </cell>
          <cell r="J18">
            <v>41784.883704788612</v>
          </cell>
          <cell r="K18">
            <v>645.56503880586592</v>
          </cell>
          <cell r="L18">
            <v>4523.7862760422968</v>
          </cell>
          <cell r="M18">
            <v>1841.806401563161</v>
          </cell>
        </row>
        <row r="19">
          <cell r="B19">
            <v>3355.2000000000003</v>
          </cell>
          <cell r="C19">
            <v>52123.479655834904</v>
          </cell>
          <cell r="D19">
            <v>412.11051143972389</v>
          </cell>
          <cell r="E19">
            <v>11394.568699052452</v>
          </cell>
          <cell r="F19">
            <v>1438.0643951718926</v>
          </cell>
          <cell r="I19">
            <v>3836.2</v>
          </cell>
          <cell r="J19">
            <v>45997.627051424162</v>
          </cell>
          <cell r="K19">
            <v>580.92170711146673</v>
          </cell>
          <cell r="L19">
            <v>4889.5305187544345</v>
          </cell>
          <cell r="M19">
            <v>1037.3782959512951</v>
          </cell>
        </row>
        <row r="20">
          <cell r="B20">
            <v>3684</v>
          </cell>
          <cell r="C20">
            <v>94166.353368272219</v>
          </cell>
          <cell r="D20">
            <v>459.51605504336817</v>
          </cell>
          <cell r="E20">
            <v>10584.159630029939</v>
          </cell>
          <cell r="F20">
            <v>851.81816938348584</v>
          </cell>
          <cell r="I20">
            <v>4135.2999999999993</v>
          </cell>
          <cell r="J20">
            <v>41997.891012634987</v>
          </cell>
          <cell r="K20">
            <v>440.01280000616168</v>
          </cell>
          <cell r="L20">
            <v>2467.812653797801</v>
          </cell>
          <cell r="M20">
            <v>996.8871969809619</v>
          </cell>
        </row>
        <row r="21">
          <cell r="B21">
            <v>3812.7</v>
          </cell>
          <cell r="C21">
            <v>67078.704809315634</v>
          </cell>
          <cell r="D21">
            <v>382.63909089062236</v>
          </cell>
          <cell r="E21">
            <v>10346.7945713876</v>
          </cell>
          <cell r="F21">
            <v>748.24378483508804</v>
          </cell>
          <cell r="I21">
            <v>3972.8</v>
          </cell>
          <cell r="J21">
            <v>41305.071759872233</v>
          </cell>
          <cell r="K21">
            <v>590.65737944843249</v>
          </cell>
          <cell r="L21">
            <v>2995.1212184755955</v>
          </cell>
          <cell r="M21">
            <v>1569.1673097292696</v>
          </cell>
        </row>
        <row r="22">
          <cell r="B22">
            <v>3530.3999999999996</v>
          </cell>
          <cell r="C22">
            <v>60017.393616085552</v>
          </cell>
          <cell r="D22">
            <v>403.4258617702273</v>
          </cell>
          <cell r="E22">
            <v>10802.32574735552</v>
          </cell>
          <cell r="F22">
            <v>1113.9578437219993</v>
          </cell>
          <cell r="I22">
            <v>3933.4</v>
          </cell>
          <cell r="J22">
            <v>34071.739698589401</v>
          </cell>
          <cell r="K22">
            <v>681.75805447600271</v>
          </cell>
          <cell r="L22">
            <v>2843.4271210112238</v>
          </cell>
          <cell r="M22">
            <v>1459.1099621935284</v>
          </cell>
        </row>
        <row r="23">
          <cell r="B23">
            <v>3708.4</v>
          </cell>
          <cell r="C23">
            <v>65404.606779852271</v>
          </cell>
          <cell r="D23">
            <v>714.08073727149565</v>
          </cell>
          <cell r="E23">
            <v>12479.482400335342</v>
          </cell>
          <cell r="F23">
            <v>1563.9262131686248</v>
          </cell>
          <cell r="I23">
            <v>3626.5</v>
          </cell>
          <cell r="J23">
            <v>50445.506213136025</v>
          </cell>
          <cell r="K23">
            <v>964.84916936612763</v>
          </cell>
          <cell r="L23">
            <v>2971.6189378964573</v>
          </cell>
          <cell r="M23">
            <v>2673.2687346475122</v>
          </cell>
        </row>
        <row r="24">
          <cell r="B24">
            <v>3546.2000000000003</v>
          </cell>
          <cell r="C24">
            <v>42576.11345468511</v>
          </cell>
          <cell r="D24">
            <v>620.19468779755698</v>
          </cell>
          <cell r="E24">
            <v>10696.908129755149</v>
          </cell>
          <cell r="F24">
            <v>1816.0651216874601</v>
          </cell>
          <cell r="I24">
            <v>3918.7</v>
          </cell>
          <cell r="J24">
            <v>36698.142091429923</v>
          </cell>
          <cell r="K24">
            <v>873.9012652126388</v>
          </cell>
          <cell r="L24">
            <v>5934.6311302452959</v>
          </cell>
          <cell r="M24">
            <v>2246.7162921907629</v>
          </cell>
        </row>
        <row r="25">
          <cell r="B25">
            <v>3131.8</v>
          </cell>
          <cell r="C25">
            <v>49073.703357624661</v>
          </cell>
          <cell r="D25">
            <v>609.11102355583</v>
          </cell>
          <cell r="E25">
            <v>12577.223937566196</v>
          </cell>
          <cell r="F25">
            <v>1687.505795791315</v>
          </cell>
          <cell r="I25">
            <v>2982.3</v>
          </cell>
          <cell r="J25">
            <v>41879.142451447056</v>
          </cell>
          <cell r="K25">
            <v>1033.2072780781605</v>
          </cell>
          <cell r="L25">
            <v>4905.3026833786771</v>
          </cell>
          <cell r="M25">
            <v>2848.8860923111561</v>
          </cell>
        </row>
        <row r="26">
          <cell r="B26">
            <v>1648.1</v>
          </cell>
          <cell r="C26">
            <v>31639.599515970825</v>
          </cell>
          <cell r="D26">
            <v>530.44318795677395</v>
          </cell>
          <cell r="E26">
            <v>11735.460876849836</v>
          </cell>
          <cell r="F26">
            <v>1740.0751382489611</v>
          </cell>
          <cell r="I26">
            <v>2689.2</v>
          </cell>
          <cell r="J26">
            <v>38323.672998400478</v>
          </cell>
          <cell r="K26">
            <v>807.18800921515879</v>
          </cell>
          <cell r="L26">
            <v>6184.3303661974933</v>
          </cell>
          <cell r="M26">
            <v>2097.5473807177696</v>
          </cell>
        </row>
        <row r="27">
          <cell r="B27">
            <v>1517.9</v>
          </cell>
          <cell r="C27">
            <v>39692.753134635284</v>
          </cell>
          <cell r="D27">
            <v>532.29876327924421</v>
          </cell>
          <cell r="E27">
            <v>12876.913066836985</v>
          </cell>
          <cell r="F27">
            <v>1790.8524918658609</v>
          </cell>
          <cell r="I27">
            <v>2513.3000000000002</v>
          </cell>
          <cell r="J27">
            <v>26171.886489886012</v>
          </cell>
          <cell r="K27">
            <v>604.97156377953047</v>
          </cell>
          <cell r="L27">
            <v>4994.5114130742104</v>
          </cell>
          <cell r="M27">
            <v>1486.2115414303132</v>
          </cell>
        </row>
        <row r="28">
          <cell r="B28">
            <v>1373.4</v>
          </cell>
          <cell r="C28">
            <v>25458.93719746529</v>
          </cell>
          <cell r="D28">
            <v>59.590611311024141</v>
          </cell>
          <cell r="E28">
            <v>10994.375444361453</v>
          </cell>
          <cell r="F28">
            <v>1411.8836371010411</v>
          </cell>
          <cell r="I28">
            <v>3244.5</v>
          </cell>
          <cell r="J28">
            <v>22812.136983411281</v>
          </cell>
          <cell r="K28">
            <v>127.12523171924929</v>
          </cell>
          <cell r="L28">
            <v>4013.9038328247507</v>
          </cell>
          <cell r="M28">
            <v>2284.8623317931042</v>
          </cell>
        </row>
        <row r="29">
          <cell r="B29">
            <v>2697</v>
          </cell>
          <cell r="C29">
            <v>36096.286924845139</v>
          </cell>
          <cell r="D29">
            <v>44.318141581186772</v>
          </cell>
          <cell r="E29">
            <v>12516.72098753956</v>
          </cell>
          <cell r="F29">
            <v>2197.8945525255963</v>
          </cell>
          <cell r="I29">
            <v>3561.1000000000004</v>
          </cell>
          <cell r="J29">
            <v>31161.436527522419</v>
          </cell>
          <cell r="K29">
            <v>15.015422094300197</v>
          </cell>
          <cell r="L29">
            <v>4080.7168531173393</v>
          </cell>
          <cell r="M29">
            <v>2563.1483269742907</v>
          </cell>
        </row>
        <row r="30">
          <cell r="B30">
            <v>2782</v>
          </cell>
          <cell r="C30">
            <v>21468.649525453569</v>
          </cell>
          <cell r="D30">
            <v>137.82002239752688</v>
          </cell>
          <cell r="E30">
            <v>8743.5604999648294</v>
          </cell>
          <cell r="F30">
            <v>1462.4887394144594</v>
          </cell>
          <cell r="I30">
            <v>3433.3</v>
          </cell>
          <cell r="J30">
            <v>31040.495334851072</v>
          </cell>
          <cell r="K30">
            <v>99.954754186185497</v>
          </cell>
          <cell r="L30">
            <v>3849.6615330051845</v>
          </cell>
          <cell r="M30">
            <v>2246.8336183772426</v>
          </cell>
        </row>
        <row r="31">
          <cell r="B31">
            <v>2773</v>
          </cell>
          <cell r="C31">
            <v>28718.180619265066</v>
          </cell>
          <cell r="D31">
            <v>140.60048488314592</v>
          </cell>
          <cell r="E31">
            <v>8737.5144305086706</v>
          </cell>
          <cell r="F31">
            <v>1303.122315529693</v>
          </cell>
          <cell r="I31">
            <v>4184.3999999999996</v>
          </cell>
          <cell r="J31">
            <v>31432.116870788614</v>
          </cell>
          <cell r="K31">
            <v>144.9887512269348</v>
          </cell>
          <cell r="L31">
            <v>4939.5932719838174</v>
          </cell>
          <cell r="M31">
            <v>2210.6678342570262</v>
          </cell>
        </row>
        <row r="32">
          <cell r="B32">
            <v>3796.2</v>
          </cell>
          <cell r="C32">
            <v>24108.496878720573</v>
          </cell>
          <cell r="D32">
            <v>64.978407535802688</v>
          </cell>
          <cell r="E32">
            <v>10182.818600666196</v>
          </cell>
          <cell r="F32">
            <v>1528.6978665245899</v>
          </cell>
          <cell r="I32">
            <v>4317.6000000000004</v>
          </cell>
          <cell r="J32">
            <v>16967.9253962316</v>
          </cell>
          <cell r="K32">
            <v>57.977108931557083</v>
          </cell>
          <cell r="L32">
            <v>4319.0759387240632</v>
          </cell>
          <cell r="M32">
            <v>1693.6799196595371</v>
          </cell>
        </row>
        <row r="33">
          <cell r="B33">
            <v>3718.7999999999997</v>
          </cell>
          <cell r="C33">
            <v>21727.221036684128</v>
          </cell>
          <cell r="D33">
            <v>630.95443553880023</v>
          </cell>
          <cell r="E33">
            <v>9475.3748855375597</v>
          </cell>
          <cell r="F33">
            <v>1387.0678315238915</v>
          </cell>
          <cell r="I33">
            <v>4182.1000000000004</v>
          </cell>
          <cell r="J33">
            <v>32967.825053073342</v>
          </cell>
          <cell r="K33">
            <v>799.85117620595599</v>
          </cell>
          <cell r="L33">
            <v>3651.9100161408592</v>
          </cell>
          <cell r="M33">
            <v>1145.8329012001577</v>
          </cell>
        </row>
        <row r="34">
          <cell r="B34">
            <v>3727.2</v>
          </cell>
          <cell r="C34">
            <v>19205.359273433198</v>
          </cell>
          <cell r="D34">
            <v>904.67810296050436</v>
          </cell>
          <cell r="E34">
            <v>10352.762937130672</v>
          </cell>
          <cell r="F34">
            <v>1802.2895215685194</v>
          </cell>
          <cell r="I34">
            <v>3923.7</v>
          </cell>
          <cell r="J34">
            <v>9366.1461180130445</v>
          </cell>
          <cell r="K34">
            <v>1089.3103918353229</v>
          </cell>
          <cell r="L34">
            <v>2617.7750492050882</v>
          </cell>
          <cell r="M34">
            <v>2244.4870189768717</v>
          </cell>
        </row>
        <row r="35">
          <cell r="B35">
            <v>3476.7</v>
          </cell>
          <cell r="C35">
            <v>2614.085829181231</v>
          </cell>
          <cell r="D35">
            <v>1200.2126782376481</v>
          </cell>
          <cell r="E35">
            <v>11364.587852611374</v>
          </cell>
          <cell r="F35">
            <v>2383.8932344272648</v>
          </cell>
          <cell r="I35">
            <v>3886.1</v>
          </cell>
          <cell r="J35">
            <v>0</v>
          </cell>
          <cell r="K35">
            <v>1444.3885832134706</v>
          </cell>
          <cell r="L35">
            <v>4096.2148507142592</v>
          </cell>
          <cell r="M35">
            <v>3509.9521519766854</v>
          </cell>
        </row>
      </sheetData>
      <sheetData sheetId="1">
        <row r="10">
          <cell r="B10">
            <v>17605.099999999999</v>
          </cell>
          <cell r="C10">
            <v>1707.3315869866747</v>
          </cell>
          <cell r="D10">
            <v>227.39109900792587</v>
          </cell>
          <cell r="E10">
            <v>7384.6284785249045</v>
          </cell>
          <cell r="F10">
            <v>45.864682499477411</v>
          </cell>
          <cell r="I10">
            <v>115363.9</v>
          </cell>
          <cell r="J10">
            <v>23775.229412814439</v>
          </cell>
          <cell r="K10">
            <v>3166.5059011103708</v>
          </cell>
          <cell r="L10">
            <v>102833.7070218468</v>
          </cell>
          <cell r="M10">
            <v>638.68281749272273</v>
          </cell>
        </row>
        <row r="11">
          <cell r="B11">
            <v>19595.100000000002</v>
          </cell>
          <cell r="C11">
            <v>1380.3612355165917</v>
          </cell>
          <cell r="D11">
            <v>317.69681449629769</v>
          </cell>
          <cell r="E11">
            <v>7591.5789495012796</v>
          </cell>
          <cell r="F11">
            <v>17.979181999869358</v>
          </cell>
          <cell r="I11">
            <v>116668.7</v>
          </cell>
          <cell r="J11">
            <v>19222.045264731045</v>
          </cell>
          <cell r="K11">
            <v>4424.0466854484439</v>
          </cell>
          <cell r="L11">
            <v>105715.56955051782</v>
          </cell>
          <cell r="M11">
            <v>250.36681799818075</v>
          </cell>
        </row>
        <row r="12">
          <cell r="B12">
            <v>9655.2000000000007</v>
          </cell>
          <cell r="C12">
            <v>1821.971735972259</v>
          </cell>
          <cell r="D12">
            <v>267.3229650012629</v>
          </cell>
          <cell r="E12">
            <v>9113.5552040438088</v>
          </cell>
          <cell r="F12">
            <v>34.980231001219423</v>
          </cell>
          <cell r="I12">
            <v>90426.7</v>
          </cell>
          <cell r="J12">
            <v>25371.636263613698</v>
          </cell>
          <cell r="K12">
            <v>3722.5720350175866</v>
          </cell>
          <cell r="L12">
            <v>126909.65679661004</v>
          </cell>
          <cell r="M12">
            <v>487.11276901698091</v>
          </cell>
        </row>
        <row r="13">
          <cell r="B13">
            <v>20253.600000000002</v>
          </cell>
          <cell r="C13">
            <v>1670.154258488591</v>
          </cell>
          <cell r="D13">
            <v>228.81605499895477</v>
          </cell>
          <cell r="E13">
            <v>8136.1930389744102</v>
          </cell>
          <cell r="F13">
            <v>27.705639000522634</v>
          </cell>
          <cell r="I13">
            <v>96905.099999999991</v>
          </cell>
          <cell r="J13">
            <v>23257.521241341125</v>
          </cell>
          <cell r="K13">
            <v>3186.3489449854446</v>
          </cell>
          <cell r="L13">
            <v>113299.52396064365</v>
          </cell>
          <cell r="M13">
            <v>385.81136100727787</v>
          </cell>
        </row>
        <row r="14">
          <cell r="B14">
            <v>17601.3</v>
          </cell>
          <cell r="C14">
            <v>882.07258749324944</v>
          </cell>
          <cell r="D14">
            <v>219.84606149838876</v>
          </cell>
          <cell r="E14">
            <v>6181.3824799996009</v>
          </cell>
          <cell r="F14">
            <v>348.09123050209064</v>
          </cell>
          <cell r="I14">
            <v>80395.8</v>
          </cell>
          <cell r="J14">
            <v>12283.189912405996</v>
          </cell>
          <cell r="K14">
            <v>3061.4384384775626</v>
          </cell>
          <cell r="L14">
            <v>86078.057519994443</v>
          </cell>
          <cell r="M14">
            <v>4847.3002695291134</v>
          </cell>
        </row>
        <row r="15">
          <cell r="B15">
            <v>35210.6</v>
          </cell>
          <cell r="C15">
            <v>726.81814399594998</v>
          </cell>
          <cell r="D15">
            <v>175.5230489992598</v>
          </cell>
          <cell r="E15">
            <v>2854.3257924895456</v>
          </cell>
          <cell r="F15">
            <v>7.3660470005661471</v>
          </cell>
          <cell r="I15">
            <v>73443.600000000006</v>
          </cell>
          <cell r="J15">
            <v>10121.213855943601</v>
          </cell>
          <cell r="K15">
            <v>2444.2239509896926</v>
          </cell>
          <cell r="L15">
            <v>39747.551707354418</v>
          </cell>
          <cell r="M15">
            <v>102.57495300788381</v>
          </cell>
        </row>
        <row r="16">
          <cell r="B16">
            <v>29482.699999999997</v>
          </cell>
          <cell r="C16">
            <v>1303.0952609987803</v>
          </cell>
          <cell r="D16">
            <v>233.31085050000007</v>
          </cell>
          <cell r="E16">
            <v>6568.8825409901838</v>
          </cell>
          <cell r="F16">
            <v>0</v>
          </cell>
          <cell r="I16">
            <v>113720.19999999998</v>
          </cell>
          <cell r="J16">
            <v>18146.087738983013</v>
          </cell>
          <cell r="K16">
            <v>3248.9406495000007</v>
          </cell>
          <cell r="L16">
            <v>91474.140458863301</v>
          </cell>
          <cell r="M16">
            <v>0</v>
          </cell>
        </row>
        <row r="17">
          <cell r="B17">
            <v>8259.6</v>
          </cell>
          <cell r="C17">
            <v>1592.1623055246487</v>
          </cell>
          <cell r="D17">
            <v>232.64105150635834</v>
          </cell>
          <cell r="E17">
            <v>7663.4434175233728</v>
          </cell>
          <cell r="F17">
            <v>127.06365750113221</v>
          </cell>
          <cell r="I17">
            <v>91180.1</v>
          </cell>
          <cell r="J17">
            <v>22171.454194843242</v>
          </cell>
          <cell r="K17">
            <v>3239.6134485885423</v>
          </cell>
          <cell r="L17">
            <v>106716.30908282548</v>
          </cell>
          <cell r="M17">
            <v>1769.4088425157663</v>
          </cell>
        </row>
        <row r="18">
          <cell r="B18">
            <v>36861.100000000006</v>
          </cell>
          <cell r="C18">
            <v>925.84077299816988</v>
          </cell>
          <cell r="D18">
            <v>185.81173650004388</v>
          </cell>
          <cell r="E18">
            <v>4906.3634685067582</v>
          </cell>
          <cell r="F18">
            <v>62.559575000217755</v>
          </cell>
          <cell r="I18">
            <v>106600.8</v>
          </cell>
          <cell r="J18">
            <v>12892.678226974514</v>
          </cell>
          <cell r="K18">
            <v>2587.4977635006107</v>
          </cell>
          <cell r="L18">
            <v>68322.94203159411</v>
          </cell>
          <cell r="M18">
            <v>871.16542500303228</v>
          </cell>
        </row>
        <row r="19">
          <cell r="B19">
            <v>20923.3</v>
          </cell>
          <cell r="C19">
            <v>1470.9478484958634</v>
          </cell>
          <cell r="D19">
            <v>243.91701750635863</v>
          </cell>
          <cell r="E19">
            <v>8027.5915330033877</v>
          </cell>
          <cell r="F19">
            <v>319.99277050322297</v>
          </cell>
          <cell r="I19">
            <v>87635.5</v>
          </cell>
          <cell r="J19">
            <v>20483.497651442394</v>
          </cell>
          <cell r="K19">
            <v>3396.6354825885464</v>
          </cell>
          <cell r="L19">
            <v>111787.20746704718</v>
          </cell>
          <cell r="M19">
            <v>4456.0187295448814</v>
          </cell>
        </row>
        <row r="20">
          <cell r="B20">
            <v>31849.5</v>
          </cell>
          <cell r="C20">
            <v>1110.4287544957324</v>
          </cell>
          <cell r="D20">
            <v>201.6478229980404</v>
          </cell>
          <cell r="E20">
            <v>7533.1496564755835</v>
          </cell>
          <cell r="F20">
            <v>118.70249299799666</v>
          </cell>
          <cell r="I20">
            <v>97178.9</v>
          </cell>
          <cell r="J20">
            <v>15463.134745440571</v>
          </cell>
          <cell r="K20">
            <v>2808.0211769727116</v>
          </cell>
          <cell r="L20">
            <v>104901.91984315999</v>
          </cell>
          <cell r="M20">
            <v>1652.9765069721027</v>
          </cell>
        </row>
        <row r="21">
          <cell r="B21">
            <v>22969.5</v>
          </cell>
          <cell r="C21">
            <v>1086.017237490594</v>
          </cell>
          <cell r="D21">
            <v>237.10666850213414</v>
          </cell>
          <cell r="E21">
            <v>6467.5456105041967</v>
          </cell>
          <cell r="F21">
            <v>238.66837150352757</v>
          </cell>
          <cell r="I21">
            <v>95533.699999999983</v>
          </cell>
          <cell r="J21">
            <v>15123.195262369018</v>
          </cell>
          <cell r="K21">
            <v>3301.7988315297189</v>
          </cell>
          <cell r="L21">
            <v>90062.985889558433</v>
          </cell>
          <cell r="M21">
            <v>3323.5461285491228</v>
          </cell>
        </row>
        <row r="22">
          <cell r="B22">
            <v>20658</v>
          </cell>
          <cell r="C22">
            <v>1845.0728335150693</v>
          </cell>
          <cell r="D22">
            <v>271.32912950034853</v>
          </cell>
          <cell r="E22">
            <v>7781.2770880113803</v>
          </cell>
          <cell r="F22">
            <v>2.5646594999564525</v>
          </cell>
          <cell r="I22">
            <v>124640.9</v>
          </cell>
          <cell r="J22">
            <v>25693.327666709847</v>
          </cell>
          <cell r="K22">
            <v>3778.3593705048538</v>
          </cell>
          <cell r="L22">
            <v>108357.18691215848</v>
          </cell>
          <cell r="M22">
            <v>35.713840499393584</v>
          </cell>
        </row>
        <row r="23">
          <cell r="B23">
            <v>16984.099999999999</v>
          </cell>
          <cell r="C23">
            <v>1538.1620474925103</v>
          </cell>
          <cell r="D23">
            <v>220.97749050283107</v>
          </cell>
          <cell r="E23">
            <v>6395.7904529946763</v>
          </cell>
          <cell r="F23">
            <v>60.446964500914582</v>
          </cell>
          <cell r="I23">
            <v>106377.90000000001</v>
          </cell>
          <cell r="J23">
            <v>21419.480452395703</v>
          </cell>
          <cell r="K23">
            <v>3077.1940095394239</v>
          </cell>
          <cell r="L23">
            <v>89063.768546925872</v>
          </cell>
          <cell r="M23">
            <v>841.74653551273593</v>
          </cell>
        </row>
        <row r="24">
          <cell r="B24">
            <v>19084.099999999999</v>
          </cell>
          <cell r="C24">
            <v>1567.3592740244749</v>
          </cell>
          <cell r="D24">
            <v>383.19993400457241</v>
          </cell>
          <cell r="E24">
            <v>9039.6212399947326</v>
          </cell>
          <cell r="F24">
            <v>1.2886445005661482</v>
          </cell>
          <cell r="I24">
            <v>98835.3</v>
          </cell>
          <cell r="J24">
            <v>21826.062726340821</v>
          </cell>
          <cell r="K24">
            <v>5336.2020660636726</v>
          </cell>
          <cell r="L24">
            <v>125880.09875992664</v>
          </cell>
          <cell r="M24">
            <v>17.944855507883826</v>
          </cell>
        </row>
        <row r="25">
          <cell r="B25">
            <v>9528.2999999999993</v>
          </cell>
          <cell r="C25">
            <v>1065.0518320075778</v>
          </cell>
          <cell r="D25">
            <v>293.4921599983889</v>
          </cell>
          <cell r="E25">
            <v>6102.3814734940388</v>
          </cell>
          <cell r="F25">
            <v>0</v>
          </cell>
          <cell r="I25">
            <v>90507</v>
          </cell>
          <cell r="J25">
            <v>14831.244168105524</v>
          </cell>
          <cell r="K25">
            <v>4086.9878399775648</v>
          </cell>
          <cell r="L25">
            <v>84977.939026416978</v>
          </cell>
          <cell r="M25">
            <v>0</v>
          </cell>
        </row>
        <row r="26">
          <cell r="B26">
            <v>18747.100000000002</v>
          </cell>
          <cell r="C26">
            <v>718.31587751289032</v>
          </cell>
          <cell r="D26">
            <v>233.55690800479022</v>
          </cell>
          <cell r="E26">
            <v>3997.1322300060133</v>
          </cell>
          <cell r="F26">
            <v>0</v>
          </cell>
          <cell r="I26">
            <v>83514.600000000006</v>
          </cell>
          <cell r="J26">
            <v>10002.816622679502</v>
          </cell>
          <cell r="K26">
            <v>3252.3670920667055</v>
          </cell>
          <cell r="L26">
            <v>55661.557770083731</v>
          </cell>
          <cell r="M26">
            <v>0</v>
          </cell>
        </row>
        <row r="27">
          <cell r="B27">
            <v>17388.3</v>
          </cell>
          <cell r="C27">
            <v>963.93439350113249</v>
          </cell>
          <cell r="D27">
            <v>239.9687744936852</v>
          </cell>
          <cell r="E27">
            <v>4061.7251544939481</v>
          </cell>
          <cell r="F27">
            <v>58.714545501698439</v>
          </cell>
          <cell r="I27">
            <v>76872.900000000009</v>
          </cell>
          <cell r="J27">
            <v>13423.146106515771</v>
          </cell>
          <cell r="K27">
            <v>3341.6547254120642</v>
          </cell>
          <cell r="L27">
            <v>56561.038345415727</v>
          </cell>
          <cell r="M27">
            <v>817.62195452365143</v>
          </cell>
        </row>
        <row r="28">
          <cell r="B28">
            <v>35818.299999999996</v>
          </cell>
          <cell r="C28">
            <v>748.85749249999969</v>
          </cell>
          <cell r="D28">
            <v>252.06740000000002</v>
          </cell>
          <cell r="E28">
            <v>1166.8186009999961</v>
          </cell>
          <cell r="F28">
            <v>0</v>
          </cell>
          <cell r="I28">
            <v>96997.3</v>
          </cell>
          <cell r="J28">
            <v>10428.120007499996</v>
          </cell>
          <cell r="K28">
            <v>3510.1326000000004</v>
          </cell>
          <cell r="L28">
            <v>16248.384398999944</v>
          </cell>
          <cell r="M28">
            <v>0</v>
          </cell>
        </row>
        <row r="29">
          <cell r="B29">
            <v>11333.7</v>
          </cell>
          <cell r="C29">
            <v>480.92961799999983</v>
          </cell>
          <cell r="D29">
            <v>201.20100000000002</v>
          </cell>
          <cell r="E29">
            <v>965.60497149999856</v>
          </cell>
          <cell r="F29">
            <v>19.553950000000004</v>
          </cell>
          <cell r="I29">
            <v>102871.5</v>
          </cell>
          <cell r="J29">
            <v>6697.1243819999981</v>
          </cell>
          <cell r="K29">
            <v>2801.799</v>
          </cell>
          <cell r="L29">
            <v>13446.40952849998</v>
          </cell>
          <cell r="M29">
            <v>272.29605000000004</v>
          </cell>
        </row>
        <row r="30">
          <cell r="B30">
            <v>17126.799999999996</v>
          </cell>
          <cell r="C30">
            <v>743.44204999999999</v>
          </cell>
          <cell r="D30">
            <v>188.78925000000001</v>
          </cell>
          <cell r="E30">
            <v>1933.1265785000014</v>
          </cell>
          <cell r="F30">
            <v>16.069950000000002</v>
          </cell>
          <cell r="I30">
            <v>87937.9</v>
          </cell>
          <cell r="J30">
            <v>10352.70795</v>
          </cell>
          <cell r="K30">
            <v>2628.9607500000002</v>
          </cell>
          <cell r="L30">
            <v>26919.508921500019</v>
          </cell>
          <cell r="M30">
            <v>223.78005000000002</v>
          </cell>
        </row>
        <row r="31">
          <cell r="B31">
            <v>21736.199999999997</v>
          </cell>
          <cell r="C31">
            <v>814.68985000000009</v>
          </cell>
          <cell r="D31">
            <v>199.1977</v>
          </cell>
          <cell r="E31">
            <v>1714.7385709999967</v>
          </cell>
          <cell r="F31">
            <v>63.060400000000008</v>
          </cell>
          <cell r="I31">
            <v>65447.1</v>
          </cell>
          <cell r="J31">
            <v>11344.860150000002</v>
          </cell>
          <cell r="K31">
            <v>2773.9023000000002</v>
          </cell>
          <cell r="L31">
            <v>23878.374428999956</v>
          </cell>
          <cell r="M31">
            <v>878.13960000000009</v>
          </cell>
        </row>
        <row r="32">
          <cell r="B32">
            <v>20619.199999999997</v>
          </cell>
          <cell r="C32">
            <v>826.14350000000002</v>
          </cell>
          <cell r="D32">
            <v>195.32175000000001</v>
          </cell>
          <cell r="E32">
            <v>1913.3871055000002</v>
          </cell>
          <cell r="F32">
            <v>85.009600000000006</v>
          </cell>
          <cell r="I32">
            <v>81733.100000000006</v>
          </cell>
          <cell r="J32">
            <v>11504.3565</v>
          </cell>
          <cell r="K32">
            <v>2719.9282499999999</v>
          </cell>
          <cell r="L32">
            <v>26644.629394500003</v>
          </cell>
          <cell r="M32">
            <v>1183.7904000000001</v>
          </cell>
        </row>
        <row r="33">
          <cell r="B33">
            <v>18862.7</v>
          </cell>
          <cell r="C33">
            <v>849.61695000000009</v>
          </cell>
          <cell r="D33">
            <v>196.49760000000003</v>
          </cell>
          <cell r="E33">
            <v>2048.8620100000021</v>
          </cell>
          <cell r="F33">
            <v>69.331599999999995</v>
          </cell>
          <cell r="I33">
            <v>81723.099999999991</v>
          </cell>
          <cell r="J33">
            <v>11831.233050000001</v>
          </cell>
          <cell r="K33">
            <v>2736.3024000000005</v>
          </cell>
          <cell r="L33">
            <v>28531.167990000031</v>
          </cell>
          <cell r="M33">
            <v>965.46839999999997</v>
          </cell>
        </row>
        <row r="34">
          <cell r="B34">
            <v>38622</v>
          </cell>
          <cell r="C34">
            <v>950.81974649999961</v>
          </cell>
          <cell r="D34">
            <v>394.56300000000005</v>
          </cell>
          <cell r="E34">
            <v>2344.4968300000032</v>
          </cell>
          <cell r="F34">
            <v>0.871</v>
          </cell>
          <cell r="I34">
            <v>128447.59999999999</v>
          </cell>
          <cell r="J34">
            <v>13240.519753499993</v>
          </cell>
          <cell r="K34">
            <v>5494.4369999999999</v>
          </cell>
          <cell r="L34">
            <v>32647.993170000049</v>
          </cell>
          <cell r="M34">
            <v>12.129000000000001</v>
          </cell>
        </row>
      </sheetData>
      <sheetData sheetId="2">
        <row r="14">
          <cell r="B14">
            <v>29890.445854126181</v>
          </cell>
          <cell r="C14">
            <v>2644.1382499999963</v>
          </cell>
          <cell r="D14">
            <v>7597.2512699999788</v>
          </cell>
          <cell r="E14">
            <v>281.60770000000002</v>
          </cell>
          <cell r="F14">
            <v>349.99057999999968</v>
          </cell>
          <cell r="G14">
            <v>4614.4742499999984</v>
          </cell>
          <cell r="H14">
            <v>369.00049000000035</v>
          </cell>
          <cell r="O14">
            <v>222090.84016854735</v>
          </cell>
          <cell r="P14">
            <v>36820.611749999989</v>
          </cell>
          <cell r="Q14">
            <v>105794.55872999973</v>
          </cell>
          <cell r="R14">
            <v>3921.4923000000031</v>
          </cell>
          <cell r="S14">
            <v>4873.7494200000001</v>
          </cell>
          <cell r="T14">
            <v>64258.275749999979</v>
          </cell>
          <cell r="U14">
            <v>5138.4695100000044</v>
          </cell>
        </row>
        <row r="15">
          <cell r="B15">
            <v>35812.365501421169</v>
          </cell>
          <cell r="C15">
            <v>2174.6967199999999</v>
          </cell>
          <cell r="D15">
            <v>6813.0276599999925</v>
          </cell>
          <cell r="E15">
            <v>191.13960999999972</v>
          </cell>
          <cell r="F15">
            <v>489.04304999999931</v>
          </cell>
          <cell r="G15">
            <v>6232.5879000000014</v>
          </cell>
          <cell r="H15">
            <v>251.76255</v>
          </cell>
          <cell r="O15">
            <v>288011.97830764117</v>
          </cell>
          <cell r="P15">
            <v>30283.463280000004</v>
          </cell>
          <cell r="Q15">
            <v>94873.952339999974</v>
          </cell>
          <cell r="R15">
            <v>2661.6903900000011</v>
          </cell>
          <cell r="S15">
            <v>6810.106949999994</v>
          </cell>
          <cell r="T15">
            <v>86791.112100000013</v>
          </cell>
          <cell r="U15">
            <v>3505.8874499999997</v>
          </cell>
        </row>
        <row r="16">
          <cell r="B16">
            <v>19100.780863296295</v>
          </cell>
          <cell r="C16">
            <v>2844.1801500000001</v>
          </cell>
          <cell r="D16">
            <v>8716.8681700000161</v>
          </cell>
          <cell r="E16">
            <v>230.24884999999995</v>
          </cell>
          <cell r="F16">
            <v>411.45436999999947</v>
          </cell>
          <cell r="G16">
            <v>6420.6542200000013</v>
          </cell>
          <cell r="H16">
            <v>353.51009000000033</v>
          </cell>
          <cell r="O16">
            <v>182451.6226974396</v>
          </cell>
          <cell r="P16">
            <v>39606.269850000012</v>
          </cell>
          <cell r="Q16">
            <v>121385.64183000042</v>
          </cell>
          <cell r="R16">
            <v>3206.3011500000016</v>
          </cell>
          <cell r="S16">
            <v>5729.6556299999984</v>
          </cell>
          <cell r="T16">
            <v>89410.005780000021</v>
          </cell>
          <cell r="U16">
            <v>4922.7599100000052</v>
          </cell>
        </row>
        <row r="17">
          <cell r="B17">
            <v>35680.985030351738</v>
          </cell>
          <cell r="C17">
            <v>2641.6290999999983</v>
          </cell>
          <cell r="D17">
            <v>8305.2335700000112</v>
          </cell>
          <cell r="E17">
            <v>211.81849000000011</v>
          </cell>
          <cell r="F17">
            <v>352.08030999999937</v>
          </cell>
          <cell r="G17">
            <v>5097.2729000000036</v>
          </cell>
          <cell r="H17">
            <v>393.49568999999968</v>
          </cell>
          <cell r="O17">
            <v>215218.20731622542</v>
          </cell>
          <cell r="P17">
            <v>36785.670900000026</v>
          </cell>
          <cell r="Q17">
            <v>115653.4764300003</v>
          </cell>
          <cell r="R17">
            <v>2949.6515100000033</v>
          </cell>
          <cell r="S17">
            <v>4902.8496899999991</v>
          </cell>
          <cell r="T17">
            <v>70981.427100000059</v>
          </cell>
          <cell r="U17">
            <v>5479.5743099999954</v>
          </cell>
        </row>
        <row r="18">
          <cell r="B18">
            <v>32184.327180099117</v>
          </cell>
          <cell r="C18">
            <v>1440.0631599999979</v>
          </cell>
          <cell r="D18">
            <v>6164.4234399999696</v>
          </cell>
          <cell r="E18">
            <v>583.94586999999865</v>
          </cell>
          <cell r="F18">
            <v>338.38818999999967</v>
          </cell>
          <cell r="G18">
            <v>4408.1122400000031</v>
          </cell>
          <cell r="H18">
            <v>284.20194000000021</v>
          </cell>
          <cell r="O18">
            <v>148754.41464993506</v>
          </cell>
          <cell r="P18">
            <v>20053.416840000002</v>
          </cell>
          <cell r="Q18">
            <v>85841.896559999543</v>
          </cell>
          <cell r="R18">
            <v>8131.664129999991</v>
          </cell>
          <cell r="S18">
            <v>4712.1818099999937</v>
          </cell>
          <cell r="T18">
            <v>61384.607760000043</v>
          </cell>
          <cell r="U18">
            <v>3957.6180600000025</v>
          </cell>
        </row>
        <row r="19">
          <cell r="B19">
            <v>71613.294922741843</v>
          </cell>
          <cell r="C19">
            <v>1203.9692299999988</v>
          </cell>
          <cell r="D19">
            <v>3010.9384599999976</v>
          </cell>
          <cell r="E19">
            <v>115.44703000000004</v>
          </cell>
          <cell r="F19">
            <v>270.14399999999978</v>
          </cell>
          <cell r="G19">
            <v>2177.2494200000046</v>
          </cell>
          <cell r="H19">
            <v>131.51094999999972</v>
          </cell>
          <cell r="O19">
            <v>114662.93204626582</v>
          </cell>
          <cell r="P19">
            <v>16765.720770000007</v>
          </cell>
          <cell r="Q19">
            <v>41928.441540000014</v>
          </cell>
          <cell r="R19">
            <v>1607.6429700000003</v>
          </cell>
          <cell r="S19">
            <v>3761.8560000000025</v>
          </cell>
          <cell r="T19">
            <v>30319.010580000064</v>
          </cell>
          <cell r="U19">
            <v>1831.3390499999962</v>
          </cell>
        </row>
        <row r="20">
          <cell r="B20">
            <v>54882.682445397906</v>
          </cell>
          <cell r="C20">
            <v>2071.3760199999997</v>
          </cell>
          <cell r="D20">
            <v>6260.3084799999924</v>
          </cell>
          <cell r="E20">
            <v>165.19855000000007</v>
          </cell>
          <cell r="F20">
            <v>359.06840999999986</v>
          </cell>
          <cell r="G20">
            <v>5158.0660200000029</v>
          </cell>
          <cell r="H20">
            <v>267.71056000000027</v>
          </cell>
          <cell r="O20">
            <v>206058.3139624802</v>
          </cell>
          <cell r="P20">
            <v>28844.683980000005</v>
          </cell>
          <cell r="Q20">
            <v>87177.131519999923</v>
          </cell>
          <cell r="R20">
            <v>2300.4514499999996</v>
          </cell>
          <cell r="S20">
            <v>5000.1615900000006</v>
          </cell>
          <cell r="T20">
            <v>71827.993980000043</v>
          </cell>
          <cell r="U20">
            <v>3727.9694400000039</v>
          </cell>
        </row>
        <row r="21">
          <cell r="B21">
            <v>12811.175637629109</v>
          </cell>
          <cell r="C21">
            <v>2494.7785000000003</v>
          </cell>
          <cell r="D21">
            <v>6593.2509100000316</v>
          </cell>
          <cell r="E21">
            <v>206.68427999999994</v>
          </cell>
          <cell r="F21">
            <v>358.03325999999925</v>
          </cell>
          <cell r="G21">
            <v>5580.3027000000093</v>
          </cell>
          <cell r="H21">
            <v>285.81597000000016</v>
          </cell>
          <cell r="O21">
            <v>188880.68638891811</v>
          </cell>
          <cell r="P21">
            <v>34740.721499999985</v>
          </cell>
          <cell r="Q21">
            <v>91813.479090000546</v>
          </cell>
          <cell r="R21">
            <v>2878.1557200000038</v>
          </cell>
          <cell r="S21">
            <v>4985.746739999996</v>
          </cell>
          <cell r="T21">
            <v>77707.797300000137</v>
          </cell>
          <cell r="U21">
            <v>3980.0940300000025</v>
          </cell>
        </row>
        <row r="22">
          <cell r="B22">
            <v>64135.367837959144</v>
          </cell>
          <cell r="C22">
            <v>1471.5290400000013</v>
          </cell>
          <cell r="D22">
            <v>3656.9692100000029</v>
          </cell>
          <cell r="E22">
            <v>118.44058999999993</v>
          </cell>
          <cell r="F22">
            <v>285.98882999999978</v>
          </cell>
          <cell r="G22">
            <v>4117.2886899999985</v>
          </cell>
          <cell r="H22">
            <v>166.97069999999985</v>
          </cell>
          <cell r="O22">
            <v>175094.58098599652</v>
          </cell>
          <cell r="P22">
            <v>20491.590960000016</v>
          </cell>
          <cell r="Q22">
            <v>50924.660790000096</v>
          </cell>
          <cell r="R22">
            <v>1649.3294100000003</v>
          </cell>
          <cell r="S22">
            <v>3982.5011699999973</v>
          </cell>
          <cell r="T22">
            <v>57334.781309999977</v>
          </cell>
          <cell r="U22">
            <v>2325.1292999999978</v>
          </cell>
        </row>
        <row r="23">
          <cell r="B23">
            <v>36186.212711464825</v>
          </cell>
          <cell r="C23">
            <v>2281.2876899999974</v>
          </cell>
          <cell r="D23">
            <v>7022.0448800000158</v>
          </cell>
          <cell r="E23">
            <v>554.51611999999932</v>
          </cell>
          <cell r="F23">
            <v>375.44990999999936</v>
          </cell>
          <cell r="G23">
            <v>5788.1300000000028</v>
          </cell>
          <cell r="H23">
            <v>308.44655999999998</v>
          </cell>
          <cell r="O23">
            <v>154082.52719249928</v>
          </cell>
          <cell r="P23">
            <v>31767.782309999995</v>
          </cell>
          <cell r="Q23">
            <v>97784.595120000275</v>
          </cell>
          <cell r="R23">
            <v>7721.8438800000031</v>
          </cell>
          <cell r="S23">
            <v>5228.2800899999993</v>
          </cell>
          <cell r="T23">
            <v>80601.870000000039</v>
          </cell>
          <cell r="U23">
            <v>4295.23344</v>
          </cell>
        </row>
        <row r="24">
          <cell r="B24">
            <v>56463.819580699092</v>
          </cell>
          <cell r="C24">
            <v>1718.4628999999986</v>
          </cell>
          <cell r="D24">
            <v>5785.223539999919</v>
          </cell>
          <cell r="E24">
            <v>233.33218999999963</v>
          </cell>
          <cell r="F24">
            <v>310.30447000000004</v>
          </cell>
          <cell r="G24">
            <v>6193.5114899999962</v>
          </cell>
          <cell r="H24">
            <v>235.16866000000027</v>
          </cell>
          <cell r="O24">
            <v>163149.05996548818</v>
          </cell>
          <cell r="P24">
            <v>23930.237099999995</v>
          </cell>
          <cell r="Q24">
            <v>80561.396459998999</v>
          </cell>
          <cell r="R24">
            <v>3249.2378100000005</v>
          </cell>
          <cell r="S24">
            <v>4321.1055299999998</v>
          </cell>
          <cell r="T24">
            <v>86246.958509999953</v>
          </cell>
          <cell r="U24">
            <v>3274.8113400000034</v>
          </cell>
        </row>
        <row r="25">
          <cell r="B25">
            <v>34883.437093799294</v>
          </cell>
          <cell r="C25">
            <v>1725.4141500000005</v>
          </cell>
          <cell r="D25">
            <v>5324.8698899999436</v>
          </cell>
          <cell r="E25">
            <v>367.32214000000022</v>
          </cell>
          <cell r="F25">
            <v>364.86524999999983</v>
          </cell>
          <cell r="G25">
            <v>5019.2842300000011</v>
          </cell>
          <cell r="H25">
            <v>227.33368000000013</v>
          </cell>
          <cell r="O25">
            <v>154984.50637477654</v>
          </cell>
          <cell r="P25">
            <v>24027.035850000011</v>
          </cell>
          <cell r="Q25">
            <v>74150.800109999225</v>
          </cell>
          <cell r="R25">
            <v>5115.0978600000108</v>
          </cell>
          <cell r="S25">
            <v>5080.8847500000002</v>
          </cell>
          <cell r="T25">
            <v>69895.405770000027</v>
          </cell>
          <cell r="U25">
            <v>3165.7063200000021</v>
          </cell>
        </row>
        <row r="26">
          <cell r="B26">
            <v>38380.214466299556</v>
          </cell>
          <cell r="C26">
            <v>2849.2634400000024</v>
          </cell>
          <cell r="D26">
            <v>6390.224160000027</v>
          </cell>
          <cell r="E26">
            <v>191.76941000000033</v>
          </cell>
          <cell r="F26">
            <v>417.60429999999997</v>
          </cell>
          <cell r="G26">
            <v>6625.5408899999984</v>
          </cell>
          <cell r="H26">
            <v>303.83025999999961</v>
          </cell>
          <cell r="O26">
            <v>249725.7951090665</v>
          </cell>
          <cell r="P26">
            <v>39677.056560000034</v>
          </cell>
          <cell r="Q26">
            <v>88986.255840000507</v>
          </cell>
          <cell r="R26">
            <v>2670.4605900000038</v>
          </cell>
          <cell r="S26">
            <v>5815.2956999999997</v>
          </cell>
          <cell r="T26">
            <v>92263.12910999998</v>
          </cell>
          <cell r="U26">
            <v>4230.9497399999946</v>
          </cell>
        </row>
        <row r="27">
          <cell r="B27">
            <v>28867.13599387939</v>
          </cell>
          <cell r="C27">
            <v>2462.8101200000019</v>
          </cell>
          <cell r="D27">
            <v>5240.233479999908</v>
          </cell>
          <cell r="E27">
            <v>303.13479999999981</v>
          </cell>
          <cell r="F27">
            <v>340.07592000000022</v>
          </cell>
          <cell r="G27">
            <v>5276.5340800000004</v>
          </cell>
          <cell r="H27">
            <v>256.38421</v>
          </cell>
          <cell r="O27">
            <v>198318.41475733931</v>
          </cell>
          <cell r="P27">
            <v>34295.54988000002</v>
          </cell>
          <cell r="Q27">
            <v>72972.206519998683</v>
          </cell>
          <cell r="R27">
            <v>4221.2651999999953</v>
          </cell>
          <cell r="S27">
            <v>4735.6840800000055</v>
          </cell>
          <cell r="T27">
            <v>73477.705920000008</v>
          </cell>
          <cell r="U27">
            <v>3570.2457900000004</v>
          </cell>
        </row>
        <row r="28">
          <cell r="B28">
            <v>53315.816627478467</v>
          </cell>
          <cell r="C28">
            <v>2506.1718499999988</v>
          </cell>
          <cell r="D28">
            <v>10077.374190000002</v>
          </cell>
          <cell r="E28">
            <v>162.47432999999955</v>
          </cell>
          <cell r="F28">
            <v>589.78625999999895</v>
          </cell>
          <cell r="G28">
            <v>6144.23567</v>
          </cell>
          <cell r="H28">
            <v>524.58521000000007</v>
          </cell>
          <cell r="O28">
            <v>248232.39601593127</v>
          </cell>
          <cell r="P28">
            <v>34899.378150000004</v>
          </cell>
          <cell r="Q28">
            <v>140331.19581000003</v>
          </cell>
          <cell r="R28">
            <v>2262.5156699999989</v>
          </cell>
          <cell r="S28">
            <v>8212.9937400000053</v>
          </cell>
          <cell r="T28">
            <v>85560.77433</v>
          </cell>
          <cell r="U28">
            <v>7305.0447900000008</v>
          </cell>
        </row>
        <row r="29">
          <cell r="B29">
            <v>26370.26470065325</v>
          </cell>
          <cell r="C29">
            <v>1732.8223399999988</v>
          </cell>
          <cell r="D29">
            <v>6812.8259899999975</v>
          </cell>
          <cell r="E29">
            <v>173.48376999999982</v>
          </cell>
          <cell r="F29">
            <v>451.64833999999883</v>
          </cell>
          <cell r="G29">
            <v>4771.1946199999975</v>
          </cell>
          <cell r="H29">
            <v>353.69233000000048</v>
          </cell>
          <cell r="O29">
            <v>202727.86863251394</v>
          </cell>
          <cell r="P29">
            <v>24130.197660000016</v>
          </cell>
          <cell r="Q29">
            <v>94871.144010000033</v>
          </cell>
          <cell r="R29">
            <v>2415.826230000001</v>
          </cell>
          <cell r="S29">
            <v>6289.3716599999943</v>
          </cell>
          <cell r="T29">
            <v>66440.665379999962</v>
          </cell>
          <cell r="U29">
            <v>4925.2976700000072</v>
          </cell>
        </row>
        <row r="30">
          <cell r="B30">
            <v>52784.618063074675</v>
          </cell>
          <cell r="C30">
            <v>1287.0907699999989</v>
          </cell>
          <cell r="D30">
            <v>4538.31736000003</v>
          </cell>
          <cell r="E30">
            <v>119.02349000000004</v>
          </cell>
          <cell r="F30">
            <v>359.47844999999961</v>
          </cell>
          <cell r="G30">
            <v>3319.865410000009</v>
          </cell>
          <cell r="H30">
            <v>252.67844000000008</v>
          </cell>
          <cell r="O30">
            <v>170291.88600823923</v>
          </cell>
          <cell r="P30">
            <v>17923.219229999999</v>
          </cell>
          <cell r="Q30">
            <v>63197.762640000481</v>
          </cell>
          <cell r="R30">
            <v>1657.4465100000002</v>
          </cell>
          <cell r="S30">
            <v>5005.8715500000026</v>
          </cell>
          <cell r="T30">
            <v>46230.364590000128</v>
          </cell>
          <cell r="U30">
            <v>3518.6415600000014</v>
          </cell>
        </row>
        <row r="31">
          <cell r="B31">
            <v>43350.081720026974</v>
          </cell>
          <cell r="C31">
            <v>1609.9550600000002</v>
          </cell>
          <cell r="D31">
            <v>4361.0949900000778</v>
          </cell>
          <cell r="E31">
            <v>163.20395999999982</v>
          </cell>
          <cell r="F31">
            <v>369.40315999999893</v>
          </cell>
          <cell r="G31">
            <v>4658.2493699999986</v>
          </cell>
          <cell r="H31">
            <v>276.67515999999989</v>
          </cell>
          <cell r="O31">
            <v>134275.20282695978</v>
          </cell>
          <cell r="P31">
            <v>22419.224940000015</v>
          </cell>
          <cell r="Q31">
            <v>60729.875010001175</v>
          </cell>
          <cell r="R31">
            <v>2272.6760400000003</v>
          </cell>
          <cell r="S31">
            <v>5144.0768399999952</v>
          </cell>
          <cell r="T31">
            <v>64867.860629999974</v>
          </cell>
          <cell r="U31">
            <v>3852.804839999998</v>
          </cell>
        </row>
        <row r="32">
          <cell r="B32">
            <v>73267.707446488479</v>
          </cell>
          <cell r="C32">
            <v>1152.0884499999993</v>
          </cell>
          <cell r="D32">
            <v>782.0059099999944</v>
          </cell>
          <cell r="E32">
            <v>135.45724999999993</v>
          </cell>
          <cell r="F32">
            <v>369.72274999999991</v>
          </cell>
          <cell r="G32">
            <v>855.7353899999996</v>
          </cell>
          <cell r="H32">
            <v>157.36424000000002</v>
          </cell>
          <cell r="O32">
            <v>194565.47675332555</v>
          </cell>
          <cell r="P32">
            <v>16043.261549999992</v>
          </cell>
          <cell r="Q32">
            <v>10889.724089999921</v>
          </cell>
          <cell r="R32">
            <v>1886.2927500000008</v>
          </cell>
          <cell r="S32">
            <v>5148.527250000001</v>
          </cell>
          <cell r="T32">
            <v>11916.434609999995</v>
          </cell>
          <cell r="U32">
            <v>2191.3557600000004</v>
          </cell>
        </row>
        <row r="33">
          <cell r="B33">
            <v>29729.147846476531</v>
          </cell>
          <cell r="C33">
            <v>739.89171999999962</v>
          </cell>
          <cell r="D33">
            <v>727.60659999999734</v>
          </cell>
          <cell r="E33">
            <v>89.575649999999996</v>
          </cell>
          <cell r="F33">
            <v>233.1901499999999</v>
          </cell>
          <cell r="G33">
            <v>610.35190999999929</v>
          </cell>
          <cell r="H33">
            <v>147.58760000000001</v>
          </cell>
          <cell r="O33">
            <v>210287.54772668463</v>
          </cell>
          <cell r="P33">
            <v>10303.268279999997</v>
          </cell>
          <cell r="Q33">
            <v>10132.19339999998</v>
          </cell>
          <cell r="R33">
            <v>1247.3743499999994</v>
          </cell>
          <cell r="S33">
            <v>3247.2598500000026</v>
          </cell>
          <cell r="T33">
            <v>8499.3780899999892</v>
          </cell>
          <cell r="U33">
            <v>2055.2124000000003</v>
          </cell>
        </row>
        <row r="34">
          <cell r="B34">
            <v>36657.48749705674</v>
          </cell>
          <cell r="C34">
            <v>1597.3175199999969</v>
          </cell>
          <cell r="D34">
            <v>1294.9183800000028</v>
          </cell>
          <cell r="E34">
            <v>152.08932999999979</v>
          </cell>
          <cell r="F34">
            <v>511.55705999999918</v>
          </cell>
          <cell r="G34">
            <v>1477.8786299999977</v>
          </cell>
          <cell r="H34">
            <v>201.24388000000005</v>
          </cell>
          <cell r="O34">
            <v>162312.52899553682</v>
          </cell>
          <cell r="P34">
            <v>22243.242479999997</v>
          </cell>
          <cell r="Q34">
            <v>18032.221620000062</v>
          </cell>
          <cell r="R34">
            <v>2117.9006700000018</v>
          </cell>
          <cell r="S34">
            <v>7123.6229399999947</v>
          </cell>
          <cell r="T34">
            <v>20580.011369999967</v>
          </cell>
          <cell r="U34">
            <v>2802.3961200000003</v>
          </cell>
        </row>
        <row r="35">
          <cell r="B35">
            <v>39505.295872163675</v>
          </cell>
          <cell r="C35">
            <v>1595.8884099999996</v>
          </cell>
          <cell r="D35">
            <v>1130.4782699999942</v>
          </cell>
          <cell r="E35">
            <v>134.07972999999993</v>
          </cell>
          <cell r="F35">
            <v>505.52370999999948</v>
          </cell>
          <cell r="G35">
            <v>1299.3088900000002</v>
          </cell>
          <cell r="H35">
            <v>208.27218000000008</v>
          </cell>
          <cell r="O35">
            <v>116066.52066698798</v>
          </cell>
          <cell r="P35">
            <v>22223.341590000011</v>
          </cell>
          <cell r="Q35">
            <v>15742.331729999931</v>
          </cell>
          <cell r="R35">
            <v>1867.1102700000013</v>
          </cell>
          <cell r="S35">
            <v>7039.6062899999961</v>
          </cell>
          <cell r="T35">
            <v>18093.361110000002</v>
          </cell>
          <cell r="U35">
            <v>2900.2678200000009</v>
          </cell>
        </row>
        <row r="36">
          <cell r="B36">
            <v>35614.970808155755</v>
          </cell>
          <cell r="C36">
            <v>1835.4857699999993</v>
          </cell>
          <cell r="D36">
            <v>1406.8686799999959</v>
          </cell>
          <cell r="E36">
            <v>175.23782999999958</v>
          </cell>
          <cell r="F36">
            <v>577.92993999999999</v>
          </cell>
          <cell r="G36">
            <v>1280.4571000000017</v>
          </cell>
          <cell r="H36">
            <v>256.34668999999997</v>
          </cell>
          <cell r="O36">
            <v>150910.29567723433</v>
          </cell>
          <cell r="P36">
            <v>25559.824230000002</v>
          </cell>
          <cell r="Q36">
            <v>19591.171319999983</v>
          </cell>
          <cell r="R36">
            <v>2440.2521699999993</v>
          </cell>
          <cell r="S36">
            <v>8047.8900599999997</v>
          </cell>
          <cell r="T36">
            <v>17830.842900000025</v>
          </cell>
          <cell r="U36">
            <v>3569.7233099999994</v>
          </cell>
        </row>
        <row r="37">
          <cell r="B37">
            <v>32344.368520778695</v>
          </cell>
          <cell r="C37">
            <v>1377.2399399999995</v>
          </cell>
          <cell r="D37">
            <v>1403.0041200000014</v>
          </cell>
          <cell r="E37">
            <v>147.42009999999982</v>
          </cell>
          <cell r="F37">
            <v>448.15160999999989</v>
          </cell>
          <cell r="G37">
            <v>1510.1404699999998</v>
          </cell>
          <cell r="H37">
            <v>238.9508100000001</v>
          </cell>
          <cell r="O37">
            <v>165656.11969314548</v>
          </cell>
          <cell r="P37">
            <v>19178.580059999993</v>
          </cell>
          <cell r="Q37">
            <v>19537.355880000046</v>
          </cell>
          <cell r="R37">
            <v>2052.8799000000004</v>
          </cell>
          <cell r="S37">
            <v>6240.6783900000064</v>
          </cell>
          <cell r="T37">
            <v>21029.269529999998</v>
          </cell>
          <cell r="U37">
            <v>3327.4791900000014</v>
          </cell>
        </row>
        <row r="38">
          <cell r="B38">
            <v>79088.587358663441</v>
          </cell>
          <cell r="C38">
            <v>1462.7996099999982</v>
          </cell>
          <cell r="D38">
            <v>1802.182080000006</v>
          </cell>
          <cell r="E38">
            <v>146.80101999999988</v>
          </cell>
          <cell r="F38">
            <v>471.42472999999973</v>
          </cell>
          <cell r="G38">
            <v>1473.6060399999985</v>
          </cell>
          <cell r="H38">
            <v>331.13008000000008</v>
          </cell>
          <cell r="O38">
            <v>272723.67352101736</v>
          </cell>
          <cell r="P38">
            <v>20370.030389999989</v>
          </cell>
          <cell r="Q38">
            <v>25096.057920000094</v>
          </cell>
          <cell r="R38">
            <v>2044.2589800000001</v>
          </cell>
          <cell r="S38">
            <v>6564.7652699999953</v>
          </cell>
          <cell r="T38">
            <v>20520.513959999978</v>
          </cell>
          <cell r="U38">
            <v>4611.1099200000008</v>
          </cell>
        </row>
      </sheetData>
      <sheetData sheetId="3">
        <row r="13">
          <cell r="B13">
            <v>62452.399999999994</v>
          </cell>
          <cell r="C13">
            <v>11791.310000046007</v>
          </cell>
          <cell r="D13">
            <v>507.16999999999985</v>
          </cell>
          <cell r="E13">
            <v>16395.679999508</v>
          </cell>
          <cell r="F13">
            <v>53.100000009000006</v>
          </cell>
          <cell r="G13">
            <v>202267.52999704191</v>
          </cell>
          <cell r="H13">
            <v>2723.7300004500021</v>
          </cell>
          <cell r="K13">
            <v>161393.39999999997</v>
          </cell>
          <cell r="L13">
            <v>32090.140000650055</v>
          </cell>
          <cell r="M13">
            <v>2549.6700000000005</v>
          </cell>
          <cell r="N13">
            <v>48488.089998751995</v>
          </cell>
          <cell r="O13">
            <v>54.279999991000011</v>
          </cell>
          <cell r="P13">
            <v>153023.97999491985</v>
          </cell>
          <cell r="Q13">
            <v>10436.380000290046</v>
          </cell>
        </row>
        <row r="14">
          <cell r="B14">
            <v>69831.799999999988</v>
          </cell>
          <cell r="C14">
            <v>11527.760000046008</v>
          </cell>
          <cell r="D14">
            <v>507.16999999999985</v>
          </cell>
          <cell r="E14">
            <v>15538.819999654999</v>
          </cell>
          <cell r="F14">
            <v>51.329999995999998</v>
          </cell>
          <cell r="G14">
            <v>150004.71999679212</v>
          </cell>
          <cell r="H14">
            <v>2869.1200002000028</v>
          </cell>
          <cell r="K14">
            <v>150683.20000000001</v>
          </cell>
          <cell r="L14">
            <v>31824.35000007003</v>
          </cell>
          <cell r="M14">
            <v>2549.6700000000005</v>
          </cell>
          <cell r="N14">
            <v>48202.46999899199</v>
          </cell>
          <cell r="O14">
            <v>54.279999991000011</v>
          </cell>
          <cell r="P14">
            <v>149273.73000091992</v>
          </cell>
          <cell r="Q14">
            <v>8389.7200002600184</v>
          </cell>
        </row>
        <row r="15">
          <cell r="B15">
            <v>44941.599999999991</v>
          </cell>
          <cell r="C15">
            <v>11265.600000091015</v>
          </cell>
          <cell r="D15">
            <v>484.61999999999989</v>
          </cell>
          <cell r="E15">
            <v>15933.960000065003</v>
          </cell>
          <cell r="F15">
            <v>63.659999993000064</v>
          </cell>
          <cell r="G15">
            <v>160778.79000218993</v>
          </cell>
          <cell r="H15">
            <v>2250.2100005100015</v>
          </cell>
          <cell r="K15">
            <v>126408.19999999998</v>
          </cell>
          <cell r="L15">
            <v>31844.180000650056</v>
          </cell>
          <cell r="M15">
            <v>2544.4500000000066</v>
          </cell>
          <cell r="N15">
            <v>48423.389999171995</v>
          </cell>
          <cell r="O15">
            <v>54.279999991000011</v>
          </cell>
          <cell r="P15">
            <v>148446.79999926998</v>
          </cell>
          <cell r="Q15">
            <v>8518.2999994800175</v>
          </cell>
        </row>
        <row r="16">
          <cell r="B16">
            <v>51569.4</v>
          </cell>
          <cell r="C16">
            <v>11450.15000006103</v>
          </cell>
          <cell r="D16">
            <v>484.61999999999989</v>
          </cell>
          <cell r="E16">
            <v>15219.910000063001</v>
          </cell>
          <cell r="F16">
            <v>40.060000000000038</v>
          </cell>
          <cell r="G16">
            <v>131316.13999926002</v>
          </cell>
          <cell r="H16">
            <v>2595.8499999900014</v>
          </cell>
          <cell r="K16">
            <v>132468.40000000002</v>
          </cell>
          <cell r="L16">
            <v>31721.200000650046</v>
          </cell>
          <cell r="M16">
            <v>2544.4500000000066</v>
          </cell>
          <cell r="N16">
            <v>48423.389999171995</v>
          </cell>
          <cell r="O16">
            <v>54.279999991000011</v>
          </cell>
          <cell r="P16">
            <v>151544.32000249007</v>
          </cell>
          <cell r="Q16">
            <v>9915.9799998000035</v>
          </cell>
        </row>
        <row r="17">
          <cell r="B17">
            <v>58881.599999999991</v>
          </cell>
          <cell r="C17">
            <v>11444.310000046004</v>
          </cell>
          <cell r="D17">
            <v>507.16999999999985</v>
          </cell>
          <cell r="E17">
            <v>16395.679999508004</v>
          </cell>
          <cell r="F17">
            <v>53.040000002000014</v>
          </cell>
          <cell r="G17">
            <v>157959.09000021202</v>
          </cell>
          <cell r="H17">
            <v>2633.8500001800012</v>
          </cell>
          <cell r="K17">
            <v>117625.5</v>
          </cell>
          <cell r="L17">
            <v>31967.16000065011</v>
          </cell>
          <cell r="M17">
            <v>2549.6700000000033</v>
          </cell>
          <cell r="N17">
            <v>48488.089998752017</v>
          </cell>
          <cell r="O17">
            <v>53.569999992999954</v>
          </cell>
          <cell r="P17">
            <v>145448.65998865003</v>
          </cell>
          <cell r="Q17">
            <v>11257.579999500018</v>
          </cell>
        </row>
        <row r="18">
          <cell r="B18">
            <v>63381.099999999977</v>
          </cell>
          <cell r="C18">
            <v>11400.500000047003</v>
          </cell>
          <cell r="D18">
            <v>507.16999999999985</v>
          </cell>
          <cell r="E18">
            <v>16395.679999508004</v>
          </cell>
          <cell r="F18">
            <v>15.339999998999996</v>
          </cell>
          <cell r="G18">
            <v>178430.44000149204</v>
          </cell>
          <cell r="H18">
            <v>2859.8999999700018</v>
          </cell>
          <cell r="K18">
            <v>135608.09999999998</v>
          </cell>
          <cell r="L18">
            <v>31905.670000650109</v>
          </cell>
          <cell r="M18">
            <v>2549.6700000000033</v>
          </cell>
          <cell r="N18">
            <v>48488.089998752017</v>
          </cell>
          <cell r="O18">
            <v>52.359999990999953</v>
          </cell>
          <cell r="P18">
            <v>124775.20999083004</v>
          </cell>
          <cell r="Q18">
            <v>10064.359999529983</v>
          </cell>
        </row>
        <row r="19">
          <cell r="B19">
            <v>59161.4</v>
          </cell>
          <cell r="C19">
            <v>11160.060000061016</v>
          </cell>
          <cell r="D19">
            <v>484.61999999999989</v>
          </cell>
          <cell r="E19">
            <v>15791.150000075</v>
          </cell>
          <cell r="F19">
            <v>31.269999996000003</v>
          </cell>
          <cell r="G19">
            <v>144627.28000458996</v>
          </cell>
          <cell r="H19">
            <v>1820.5199998049977</v>
          </cell>
          <cell r="K19">
            <v>156175.6</v>
          </cell>
          <cell r="L19">
            <v>32028.650000650119</v>
          </cell>
          <cell r="M19">
            <v>2544.450000000003</v>
          </cell>
          <cell r="N19">
            <v>48423.389999172017</v>
          </cell>
          <cell r="O19">
            <v>54.279999990999947</v>
          </cell>
          <cell r="P19">
            <v>150475.24000289003</v>
          </cell>
          <cell r="Q19">
            <v>5530.5699994500137</v>
          </cell>
        </row>
        <row r="20">
          <cell r="B20">
            <v>47053.799999999996</v>
          </cell>
          <cell r="C20">
            <v>11069.689999521999</v>
          </cell>
          <cell r="D20">
            <v>484.61999999999989</v>
          </cell>
          <cell r="E20">
            <v>15933.960000065001</v>
          </cell>
          <cell r="F20">
            <v>30.679999997999992</v>
          </cell>
          <cell r="G20">
            <v>178476.19000829998</v>
          </cell>
          <cell r="H20">
            <v>2776.1200000499975</v>
          </cell>
          <cell r="K20">
            <v>136672.5</v>
          </cell>
          <cell r="L20">
            <v>31578.390000070111</v>
          </cell>
          <cell r="M20">
            <v>2544.450000000003</v>
          </cell>
          <cell r="N20">
            <v>48423.389999172017</v>
          </cell>
          <cell r="O20">
            <v>54.279999990999947</v>
          </cell>
          <cell r="P20">
            <v>155555.47000339013</v>
          </cell>
          <cell r="Q20">
            <v>11297.589999810021</v>
          </cell>
        </row>
        <row r="21">
          <cell r="B21">
            <v>79926.700000000012</v>
          </cell>
          <cell r="C21">
            <v>11463.790000070996</v>
          </cell>
          <cell r="D21">
            <v>507.16999999999985</v>
          </cell>
          <cell r="E21">
            <v>16395.679999508004</v>
          </cell>
          <cell r="F21">
            <v>68.440000007999998</v>
          </cell>
          <cell r="G21">
            <v>227703.44999744225</v>
          </cell>
          <cell r="H21">
            <v>2890.7900002800025</v>
          </cell>
          <cell r="K21">
            <v>156954.9</v>
          </cell>
          <cell r="L21">
            <v>31659.710000650113</v>
          </cell>
          <cell r="M21">
            <v>2549.6700000000033</v>
          </cell>
          <cell r="N21">
            <v>48488.089998752017</v>
          </cell>
          <cell r="O21">
            <v>54.279999990999947</v>
          </cell>
          <cell r="P21">
            <v>152769.22000261999</v>
          </cell>
          <cell r="Q21">
            <v>11274.63000024002</v>
          </cell>
        </row>
        <row r="22">
          <cell r="B22">
            <v>64682.999999999993</v>
          </cell>
          <cell r="C22">
            <v>11518.160000002004</v>
          </cell>
          <cell r="D22">
            <v>507.16999999999985</v>
          </cell>
          <cell r="E22">
            <v>16395.679999508004</v>
          </cell>
          <cell r="F22">
            <v>61.359999995999985</v>
          </cell>
          <cell r="G22">
            <v>243200.98000130188</v>
          </cell>
          <cell r="H22">
            <v>2888.9400003000001</v>
          </cell>
          <cell r="K22">
            <v>133785</v>
          </cell>
          <cell r="L22">
            <v>32018.730000650037</v>
          </cell>
          <cell r="M22">
            <v>2549.6700000000005</v>
          </cell>
          <cell r="N22">
            <v>48328.649999062</v>
          </cell>
          <cell r="O22">
            <v>54.279999991000011</v>
          </cell>
          <cell r="P22">
            <v>155993.86999771991</v>
          </cell>
          <cell r="Q22">
            <v>11262.769999410033</v>
          </cell>
        </row>
        <row r="23">
          <cell r="B23">
            <v>77949.900000000009</v>
          </cell>
          <cell r="C23">
            <v>11047.499999521999</v>
          </cell>
          <cell r="D23">
            <v>484.61999999999989</v>
          </cell>
          <cell r="E23">
            <v>15933.960000065001</v>
          </cell>
          <cell r="F23">
            <v>58.410000001000014</v>
          </cell>
          <cell r="G23">
            <v>249382.9400048597</v>
          </cell>
          <cell r="H23">
            <v>2775.0500000399984</v>
          </cell>
          <cell r="K23">
            <v>141359.80000000002</v>
          </cell>
          <cell r="L23">
            <v>32090.140000650055</v>
          </cell>
          <cell r="M23">
            <v>2544.4500000000066</v>
          </cell>
          <cell r="N23">
            <v>48423.389999171995</v>
          </cell>
          <cell r="O23">
            <v>54.279999991000011</v>
          </cell>
          <cell r="P23">
            <v>154837.39000299</v>
          </cell>
          <cell r="Q23">
            <v>11304.19000016998</v>
          </cell>
        </row>
        <row r="24">
          <cell r="B24">
            <v>64897.599999999991</v>
          </cell>
          <cell r="C24">
            <v>11114.220000076015</v>
          </cell>
          <cell r="D24">
            <v>484.61999999999989</v>
          </cell>
          <cell r="E24">
            <v>15933.960000065001</v>
          </cell>
          <cell r="F24">
            <v>70.209999981000053</v>
          </cell>
          <cell r="G24">
            <v>239481.54999801973</v>
          </cell>
          <cell r="H24">
            <v>2771.9799999899969</v>
          </cell>
          <cell r="K24">
            <v>142394.29999999999</v>
          </cell>
          <cell r="L24">
            <v>31663.950000650053</v>
          </cell>
          <cell r="M24">
            <v>2544.4500000000066</v>
          </cell>
          <cell r="N24">
            <v>48295.689999421993</v>
          </cell>
          <cell r="O24">
            <v>53.690000000000047</v>
          </cell>
          <cell r="P24">
            <v>154427.72000308984</v>
          </cell>
          <cell r="Q24">
            <v>11270.020000410008</v>
          </cell>
        </row>
        <row r="25">
          <cell r="B25">
            <v>64928.899999999994</v>
          </cell>
          <cell r="C25">
            <v>11760.030000046005</v>
          </cell>
          <cell r="D25">
            <v>507.16999999999985</v>
          </cell>
          <cell r="E25">
            <v>15967.249999422003</v>
          </cell>
          <cell r="F25">
            <v>55.46000000600003</v>
          </cell>
          <cell r="G25">
            <v>199120.48000503189</v>
          </cell>
          <cell r="H25">
            <v>2664.0500001000028</v>
          </cell>
          <cell r="K25">
            <v>165338.9</v>
          </cell>
          <cell r="L25">
            <v>32090.140000650055</v>
          </cell>
          <cell r="M25">
            <v>2549.6700000000005</v>
          </cell>
          <cell r="N25">
            <v>48345.279998981991</v>
          </cell>
          <cell r="O25">
            <v>54.279999991000011</v>
          </cell>
          <cell r="P25">
            <v>153450.75998721988</v>
          </cell>
          <cell r="Q25">
            <v>5952.3700000200042</v>
          </cell>
        </row>
        <row r="26">
          <cell r="B26">
            <v>62033.80000000001</v>
          </cell>
          <cell r="C26">
            <v>11422.370000046008</v>
          </cell>
          <cell r="D26">
            <v>507.16999999999985</v>
          </cell>
          <cell r="E26">
            <v>16395.679999508</v>
          </cell>
          <cell r="F26">
            <v>65.490000006000031</v>
          </cell>
          <cell r="G26">
            <v>138176.69000290197</v>
          </cell>
          <cell r="H26">
            <v>2502.7500001800026</v>
          </cell>
          <cell r="K26">
            <v>156198.1</v>
          </cell>
          <cell r="L26">
            <v>32030.330000650058</v>
          </cell>
          <cell r="M26">
            <v>2549.6700000000005</v>
          </cell>
          <cell r="N26">
            <v>48488.089998751995</v>
          </cell>
          <cell r="O26">
            <v>54.279999991000011</v>
          </cell>
          <cell r="P26">
            <v>146947.79999744002</v>
          </cell>
          <cell r="Q26">
            <v>9409.4700004199822</v>
          </cell>
        </row>
        <row r="27">
          <cell r="B27">
            <v>52192.899999999994</v>
          </cell>
          <cell r="C27">
            <v>11321.70000006103</v>
          </cell>
          <cell r="D27">
            <v>484.61999999999989</v>
          </cell>
          <cell r="E27">
            <v>14934.290000225999</v>
          </cell>
          <cell r="F27">
            <v>54.510000008000041</v>
          </cell>
          <cell r="G27">
            <v>119214.46000735986</v>
          </cell>
          <cell r="H27">
            <v>1432.0499999699996</v>
          </cell>
          <cell r="K27">
            <v>126392.10000000003</v>
          </cell>
          <cell r="L27">
            <v>31463.040000070047</v>
          </cell>
          <cell r="M27">
            <v>2544.4500000000066</v>
          </cell>
          <cell r="N27">
            <v>47724.449999411991</v>
          </cell>
          <cell r="O27">
            <v>53.510000000000048</v>
          </cell>
          <cell r="P27">
            <v>145344.46000297999</v>
          </cell>
          <cell r="Q27">
            <v>5645.0199996300098</v>
          </cell>
        </row>
        <row r="28">
          <cell r="B28">
            <v>43142.200000000004</v>
          </cell>
          <cell r="C28">
            <v>11204.190000061031</v>
          </cell>
          <cell r="D28">
            <v>484.61999999999989</v>
          </cell>
          <cell r="E28">
            <v>14160.120000302</v>
          </cell>
          <cell r="F28">
            <v>30.620000005000001</v>
          </cell>
          <cell r="G28">
            <v>116560.37000256992</v>
          </cell>
          <cell r="H28">
            <v>1724.5399998689998</v>
          </cell>
          <cell r="K28">
            <v>120268.20000000001</v>
          </cell>
          <cell r="L28">
            <v>31599.930000650034</v>
          </cell>
          <cell r="M28">
            <v>2544.4500000000066</v>
          </cell>
          <cell r="N28">
            <v>46709.669999411992</v>
          </cell>
          <cell r="O28">
            <v>54.279999991000011</v>
          </cell>
          <cell r="P28">
            <v>134907.08000206001</v>
          </cell>
          <cell r="Q28">
            <v>5403.9700001099854</v>
          </cell>
        </row>
        <row r="29">
          <cell r="B29">
            <v>44307.8</v>
          </cell>
          <cell r="C29">
            <v>11433.400000046011</v>
          </cell>
          <cell r="D29">
            <v>507.16999999999985</v>
          </cell>
          <cell r="E29">
            <v>16252.869999518</v>
          </cell>
          <cell r="F29">
            <v>24.780000007999991</v>
          </cell>
          <cell r="G29">
            <v>117446.6600034319</v>
          </cell>
          <cell r="H29">
            <v>1745.6399998350012</v>
          </cell>
          <cell r="K29">
            <v>111785.40000000002</v>
          </cell>
          <cell r="L29">
            <v>31110.540000650042</v>
          </cell>
          <cell r="M29">
            <v>2549.6700000000005</v>
          </cell>
          <cell r="N29">
            <v>47345.609998951993</v>
          </cell>
          <cell r="O29">
            <v>54.279999991000011</v>
          </cell>
          <cell r="P29">
            <v>129167.61999649971</v>
          </cell>
          <cell r="Q29">
            <v>6368.4999996899842</v>
          </cell>
        </row>
        <row r="30">
          <cell r="B30">
            <v>41132.699999999997</v>
          </cell>
          <cell r="C30">
            <v>11700.260000046008</v>
          </cell>
          <cell r="D30">
            <v>507.16999999999985</v>
          </cell>
          <cell r="E30">
            <v>14331.429999722001</v>
          </cell>
          <cell r="F30">
            <v>69.619999990000053</v>
          </cell>
          <cell r="G30">
            <v>114563.17000358189</v>
          </cell>
          <cell r="H30">
            <v>2589.5500003199977</v>
          </cell>
          <cell r="K30">
            <v>126676.59999999999</v>
          </cell>
          <cell r="L30">
            <v>31844.180000650042</v>
          </cell>
          <cell r="M30">
            <v>2549.6700000000005</v>
          </cell>
          <cell r="N30">
            <v>46682.409999242009</v>
          </cell>
          <cell r="O30">
            <v>54.279999991000011</v>
          </cell>
          <cell r="P30">
            <v>134061.69998688</v>
          </cell>
          <cell r="Q30">
            <v>11183.770000110007</v>
          </cell>
        </row>
        <row r="31">
          <cell r="B31">
            <v>60077.2</v>
          </cell>
          <cell r="C31">
            <v>11014.250000061031</v>
          </cell>
          <cell r="D31">
            <v>484.61999999999989</v>
          </cell>
          <cell r="E31">
            <v>13598.520000091999</v>
          </cell>
          <cell r="F31">
            <v>76.109999997000031</v>
          </cell>
          <cell r="G31">
            <v>114396.19000446994</v>
          </cell>
          <cell r="H31">
            <v>1888.8699996900018</v>
          </cell>
          <cell r="K31">
            <v>136404.79999999999</v>
          </cell>
          <cell r="L31">
            <v>30896.97000073002</v>
          </cell>
          <cell r="M31">
            <v>2544.4500000000066</v>
          </cell>
          <cell r="N31">
            <v>46776.809998902005</v>
          </cell>
          <cell r="O31">
            <v>54.279999991000011</v>
          </cell>
          <cell r="P31">
            <v>132988.7299967799</v>
          </cell>
          <cell r="Q31">
            <v>6057.4799995799922</v>
          </cell>
        </row>
        <row r="32">
          <cell r="B32">
            <v>49117.000000000007</v>
          </cell>
          <cell r="C32">
            <v>10896.740000061031</v>
          </cell>
          <cell r="D32">
            <v>484.61999999999989</v>
          </cell>
          <cell r="E32">
            <v>14745.250000143002</v>
          </cell>
          <cell r="F32">
            <v>40.709999998000022</v>
          </cell>
          <cell r="G32">
            <v>116185.25000393993</v>
          </cell>
          <cell r="H32">
            <v>2369.3399999399985</v>
          </cell>
          <cell r="K32">
            <v>138982.5</v>
          </cell>
          <cell r="L32">
            <v>31844.180000650034</v>
          </cell>
          <cell r="M32">
            <v>2544.4500000000066</v>
          </cell>
          <cell r="N32">
            <v>47802.259999682006</v>
          </cell>
          <cell r="O32">
            <v>54.279999991000011</v>
          </cell>
          <cell r="P32">
            <v>131319.62999859994</v>
          </cell>
          <cell r="Q32">
            <v>9978.3399999300073</v>
          </cell>
        </row>
        <row r="33">
          <cell r="B33">
            <v>55483.599999999991</v>
          </cell>
          <cell r="C33">
            <v>11729.820000046009</v>
          </cell>
          <cell r="D33">
            <v>507.16999999999985</v>
          </cell>
          <cell r="E33">
            <v>16252.869999518</v>
          </cell>
          <cell r="F33">
            <v>60.179999988000056</v>
          </cell>
          <cell r="G33">
            <v>116410.34000335193</v>
          </cell>
          <cell r="H33">
            <v>2731.9199998500017</v>
          </cell>
          <cell r="K33">
            <v>142202</v>
          </cell>
          <cell r="L33">
            <v>31905.670000650047</v>
          </cell>
          <cell r="M33">
            <v>2549.6700000000005</v>
          </cell>
          <cell r="N33">
            <v>46218.239999631995</v>
          </cell>
          <cell r="O33">
            <v>54.219999991000009</v>
          </cell>
          <cell r="P33">
            <v>123022.91999618986</v>
          </cell>
          <cell r="Q33">
            <v>8817.6699998700169</v>
          </cell>
        </row>
        <row r="34">
          <cell r="B34">
            <v>67306.5</v>
          </cell>
          <cell r="C34">
            <v>11545.350000046008</v>
          </cell>
          <cell r="D34">
            <v>507.16999999999985</v>
          </cell>
          <cell r="E34">
            <v>16395.679999508</v>
          </cell>
          <cell r="F34">
            <v>56.639999995000011</v>
          </cell>
          <cell r="G34">
            <v>134362.60999650179</v>
          </cell>
          <cell r="H34">
            <v>2891.4100001099978</v>
          </cell>
          <cell r="K34">
            <v>123295.49999999999</v>
          </cell>
          <cell r="L34">
            <v>32030.360000650056</v>
          </cell>
          <cell r="M34">
            <v>2549.6700000000005</v>
          </cell>
          <cell r="N34">
            <v>48488.089998751995</v>
          </cell>
          <cell r="O34">
            <v>54.279999991000011</v>
          </cell>
          <cell r="P34">
            <v>138051.94998970011</v>
          </cell>
          <cell r="Q34">
            <v>11319.739999740006</v>
          </cell>
        </row>
        <row r="35">
          <cell r="B35">
            <v>65215.4</v>
          </cell>
          <cell r="C35">
            <v>11366.090000061031</v>
          </cell>
          <cell r="D35">
            <v>484.61999999999989</v>
          </cell>
          <cell r="E35">
            <v>15933.960000065003</v>
          </cell>
          <cell r="F35">
            <v>67.259999986000039</v>
          </cell>
          <cell r="G35">
            <v>209372.46000016981</v>
          </cell>
          <cell r="H35">
            <v>2774.6799999299978</v>
          </cell>
          <cell r="K35">
            <v>145205.4</v>
          </cell>
          <cell r="L35">
            <v>32090.140000650055</v>
          </cell>
          <cell r="M35">
            <v>2544.4500000000066</v>
          </cell>
          <cell r="N35">
            <v>48263.949998832009</v>
          </cell>
          <cell r="O35">
            <v>54.279999991000011</v>
          </cell>
          <cell r="P35">
            <v>147295.95000156004</v>
          </cell>
          <cell r="Q35">
            <v>11307.120000239998</v>
          </cell>
        </row>
        <row r="36">
          <cell r="B36">
            <v>80035.799999999988</v>
          </cell>
          <cell r="C36">
            <v>11450.15000006103</v>
          </cell>
          <cell r="D36">
            <v>484.61999999999989</v>
          </cell>
          <cell r="E36">
            <v>15797.080000055003</v>
          </cell>
          <cell r="F36">
            <v>57.229999986000031</v>
          </cell>
          <cell r="G36">
            <v>239835.25000355989</v>
          </cell>
          <cell r="H36">
            <v>2774.8799998199975</v>
          </cell>
          <cell r="K36">
            <v>137727.9</v>
          </cell>
          <cell r="L36">
            <v>32090.140000650055</v>
          </cell>
          <cell r="M36">
            <v>2544.4500000000066</v>
          </cell>
          <cell r="N36">
            <v>47884.039999259992</v>
          </cell>
          <cell r="O36">
            <v>54.279999991000011</v>
          </cell>
          <cell r="P36">
            <v>147664.03000006001</v>
          </cell>
          <cell r="Q36">
            <v>11311.139999910039</v>
          </cell>
        </row>
        <row r="37">
          <cell r="B37">
            <v>84318.999999999985</v>
          </cell>
          <cell r="C37">
            <v>11248.830000046008</v>
          </cell>
          <cell r="D37">
            <v>507.16999999999985</v>
          </cell>
          <cell r="E37">
            <v>16252.559999491999</v>
          </cell>
          <cell r="F37">
            <v>31.269999995999992</v>
          </cell>
          <cell r="G37">
            <v>143056.48999878188</v>
          </cell>
          <cell r="H37">
            <v>2365.3000001100022</v>
          </cell>
          <cell r="K37">
            <v>174343.1</v>
          </cell>
          <cell r="L37">
            <v>32090.140000650055</v>
          </cell>
          <cell r="M37">
            <v>2549.6700000000005</v>
          </cell>
          <cell r="N37">
            <v>47791.739999139994</v>
          </cell>
          <cell r="O37">
            <v>54.219999991000009</v>
          </cell>
          <cell r="P37">
            <v>146092.59999859976</v>
          </cell>
          <cell r="Q37">
            <v>8975.0199995399671</v>
          </cell>
        </row>
      </sheetData>
      <sheetData sheetId="4">
        <row r="12">
          <cell r="B12">
            <v>70959.412161702276</v>
          </cell>
          <cell r="E12">
            <v>128630.43250000001</v>
          </cell>
          <cell r="F12">
            <v>7836.3104416666665</v>
          </cell>
          <cell r="G12">
            <v>34095.13225833328</v>
          </cell>
          <cell r="H12">
            <v>20634.868633333339</v>
          </cell>
          <cell r="I12">
            <v>116027.48901666672</v>
          </cell>
          <cell r="J12">
            <v>116980.59142499993</v>
          </cell>
          <cell r="L12">
            <v>137878.40851666665</v>
          </cell>
          <cell r="M12">
            <v>321965.51900000102</v>
          </cell>
        </row>
        <row r="13">
          <cell r="B13">
            <v>98375.955534972207</v>
          </cell>
          <cell r="E13">
            <v>171209.66879166654</v>
          </cell>
          <cell r="F13">
            <v>10572.270575000002</v>
          </cell>
          <cell r="G13">
            <v>57410.887316666682</v>
          </cell>
          <cell r="H13">
            <v>28053.972124999982</v>
          </cell>
          <cell r="I13">
            <v>162302.02802499992</v>
          </cell>
          <cell r="J13">
            <v>123351.85064166655</v>
          </cell>
          <cell r="L13">
            <v>104056.00910833303</v>
          </cell>
          <cell r="M13">
            <v>287340.1328166661</v>
          </cell>
        </row>
        <row r="14">
          <cell r="B14">
            <v>73755.099223692843</v>
          </cell>
          <cell r="E14">
            <v>156610.93817500005</v>
          </cell>
          <cell r="F14">
            <v>9536.8997916666667</v>
          </cell>
          <cell r="G14">
            <v>42887.282983333367</v>
          </cell>
          <cell r="H14">
            <v>27952.926683333328</v>
          </cell>
          <cell r="I14">
            <v>167799.78377499996</v>
          </cell>
          <cell r="J14">
            <v>142547.58296666646</v>
          </cell>
          <cell r="L14">
            <v>131467.00760000013</v>
          </cell>
          <cell r="M14">
            <v>241277.85535833368</v>
          </cell>
        </row>
        <row r="15">
          <cell r="B15">
            <v>80995.438823337856</v>
          </cell>
          <cell r="E15">
            <v>142209.0212166665</v>
          </cell>
          <cell r="F15">
            <v>8906.8516833333324</v>
          </cell>
          <cell r="G15">
            <v>39210.629416666612</v>
          </cell>
          <cell r="H15">
            <v>23252.475866666668</v>
          </cell>
          <cell r="I15">
            <v>134366.27140833321</v>
          </cell>
          <cell r="J15">
            <v>132189.49104999992</v>
          </cell>
          <cell r="L15">
            <v>147612.01239166671</v>
          </cell>
          <cell r="M15">
            <v>259479.58944166687</v>
          </cell>
        </row>
        <row r="16">
          <cell r="B16">
            <v>52631.898562429094</v>
          </cell>
          <cell r="E16">
            <v>132473.63858333329</v>
          </cell>
          <cell r="F16">
            <v>7326.1506499999987</v>
          </cell>
          <cell r="G16">
            <v>46629.782641666738</v>
          </cell>
          <cell r="H16">
            <v>23185.479008333328</v>
          </cell>
          <cell r="I16">
            <v>142889.93299166672</v>
          </cell>
          <cell r="J16">
            <v>121860.20232499979</v>
          </cell>
          <cell r="L16">
            <v>114549.85089166682</v>
          </cell>
          <cell r="M16">
            <v>218229.08364166701</v>
          </cell>
        </row>
        <row r="17">
          <cell r="B17">
            <v>48734.913197497015</v>
          </cell>
          <cell r="E17">
            <v>115313.45216666654</v>
          </cell>
          <cell r="F17">
            <v>7031.9334583333339</v>
          </cell>
          <cell r="G17">
            <v>36823.810325000006</v>
          </cell>
          <cell r="H17">
            <v>18158.286175000005</v>
          </cell>
          <cell r="I17">
            <v>91347.135891666665</v>
          </cell>
          <cell r="J17">
            <v>65273.210075000054</v>
          </cell>
          <cell r="L17">
            <v>65934.600874999975</v>
          </cell>
          <cell r="M17">
            <v>154886.66464166634</v>
          </cell>
        </row>
        <row r="18">
          <cell r="B18">
            <v>77943.337540502762</v>
          </cell>
          <cell r="E18">
            <v>159140.95949166664</v>
          </cell>
          <cell r="F18">
            <v>8826.9613249999966</v>
          </cell>
          <cell r="G18">
            <v>46490.212933333358</v>
          </cell>
          <cell r="H18">
            <v>26156.25384999999</v>
          </cell>
          <cell r="I18">
            <v>149052.13233333331</v>
          </cell>
          <cell r="J18">
            <v>122703.2006666668</v>
          </cell>
          <cell r="L18">
            <v>112470.72169166674</v>
          </cell>
          <cell r="M18">
            <v>271355.24814999953</v>
          </cell>
        </row>
        <row r="19">
          <cell r="B19">
            <v>59159.468010247969</v>
          </cell>
          <cell r="E19">
            <v>136199.42543333335</v>
          </cell>
          <cell r="F19">
            <v>8251.999641666669</v>
          </cell>
          <cell r="G19">
            <v>38453.1404833333</v>
          </cell>
          <cell r="H19">
            <v>27665.64600833333</v>
          </cell>
          <cell r="I19">
            <v>151964.66344166675</v>
          </cell>
          <cell r="J19">
            <v>121277.5630166667</v>
          </cell>
          <cell r="L19">
            <v>120414.0250500001</v>
          </cell>
          <cell r="M19">
            <v>296768.56859999883</v>
          </cell>
        </row>
        <row r="20">
          <cell r="B20">
            <v>72111.124042495445</v>
          </cell>
          <cell r="E20">
            <v>120498.95544166652</v>
          </cell>
          <cell r="F20">
            <v>7958.2575749999996</v>
          </cell>
          <cell r="G20">
            <v>38457.470266666678</v>
          </cell>
          <cell r="H20">
            <v>21212.161658333334</v>
          </cell>
          <cell r="I20">
            <v>111241.49177499968</v>
          </cell>
          <cell r="J20">
            <v>77779.626608333318</v>
          </cell>
          <cell r="L20">
            <v>79994.981008333431</v>
          </cell>
          <cell r="M20">
            <v>201676.47140000007</v>
          </cell>
        </row>
        <row r="21">
          <cell r="B21">
            <v>62016.9104852319</v>
          </cell>
          <cell r="E21">
            <v>152247.9705249999</v>
          </cell>
          <cell r="F21">
            <v>10140.570608333335</v>
          </cell>
          <cell r="G21">
            <v>45484.790299999979</v>
          </cell>
          <cell r="H21">
            <v>28760.79916666666</v>
          </cell>
          <cell r="I21">
            <v>160751.68246666662</v>
          </cell>
          <cell r="J21">
            <v>132959.61690833315</v>
          </cell>
          <cell r="L21">
            <v>124780.75071666671</v>
          </cell>
          <cell r="M21">
            <v>260159.54890833379</v>
          </cell>
        </row>
        <row r="22">
          <cell r="B22">
            <v>69799.009080417425</v>
          </cell>
          <cell r="E22">
            <v>146233.59948333338</v>
          </cell>
          <cell r="F22">
            <v>8690.422858333337</v>
          </cell>
          <cell r="G22">
            <v>39700.118808333362</v>
          </cell>
          <cell r="H22">
            <v>23212.889858333339</v>
          </cell>
          <cell r="I22">
            <v>179383.57972499967</v>
          </cell>
          <cell r="J22">
            <v>112951.190275</v>
          </cell>
          <cell r="L22">
            <v>91395.536174999681</v>
          </cell>
          <cell r="M22">
            <v>197496.91397499957</v>
          </cell>
        </row>
        <row r="23">
          <cell r="B23">
            <v>63140.680279551991</v>
          </cell>
          <cell r="E23">
            <v>134362.67880000014</v>
          </cell>
          <cell r="F23">
            <v>10417.917849999998</v>
          </cell>
          <cell r="G23">
            <v>41956.478283333287</v>
          </cell>
          <cell r="H23">
            <v>24154.464224999978</v>
          </cell>
          <cell r="I23">
            <v>156552.29634166698</v>
          </cell>
          <cell r="J23">
            <v>108306.61104999988</v>
          </cell>
          <cell r="L23">
            <v>89726.57045000013</v>
          </cell>
          <cell r="M23">
            <v>214755.28290000011</v>
          </cell>
        </row>
        <row r="24">
          <cell r="B24">
            <v>103865.14937781838</v>
          </cell>
          <cell r="E24">
            <v>188478.62132500025</v>
          </cell>
          <cell r="F24">
            <v>12877.486683333333</v>
          </cell>
          <cell r="G24">
            <v>48286.129041666682</v>
          </cell>
          <cell r="H24">
            <v>28623.079350000004</v>
          </cell>
          <cell r="I24">
            <v>190075.81590000016</v>
          </cell>
          <cell r="J24">
            <v>135350.73425833325</v>
          </cell>
          <cell r="L24">
            <v>113129.00048333313</v>
          </cell>
          <cell r="M24">
            <v>334893.99683333328</v>
          </cell>
        </row>
        <row r="25">
          <cell r="B25">
            <v>85509.959779248282</v>
          </cell>
          <cell r="E25">
            <v>152849.95690833364</v>
          </cell>
          <cell r="F25">
            <v>11228.188858333338</v>
          </cell>
          <cell r="G25">
            <v>39994.978800000019</v>
          </cell>
          <cell r="H25">
            <v>21532.36465000001</v>
          </cell>
          <cell r="I25">
            <v>145722.52437500007</v>
          </cell>
          <cell r="J25">
            <v>112567.9586083334</v>
          </cell>
          <cell r="L25">
            <v>97086.987849999947</v>
          </cell>
          <cell r="M25">
            <v>236481.08757499937</v>
          </cell>
        </row>
        <row r="26">
          <cell r="B26">
            <v>138825.26536977838</v>
          </cell>
          <cell r="E26">
            <v>236280.32263333342</v>
          </cell>
          <cell r="F26">
            <v>14635.272833333325</v>
          </cell>
          <cell r="G26">
            <v>70726.116441666643</v>
          </cell>
          <cell r="H26">
            <v>39164.978525000035</v>
          </cell>
          <cell r="I26">
            <v>282864.275616667</v>
          </cell>
          <cell r="J26">
            <v>223801.07463333369</v>
          </cell>
          <cell r="L26">
            <v>184801.50870833304</v>
          </cell>
          <cell r="M26">
            <v>434811.31321666687</v>
          </cell>
        </row>
        <row r="27">
          <cell r="B27">
            <v>110831.59902648479</v>
          </cell>
          <cell r="E27">
            <v>223689.72787499998</v>
          </cell>
          <cell r="F27">
            <v>14396.988491666671</v>
          </cell>
          <cell r="G27">
            <v>67834.200750000076</v>
          </cell>
          <cell r="H27">
            <v>31125.564950000015</v>
          </cell>
          <cell r="I27">
            <v>211636.83605000007</v>
          </cell>
          <cell r="J27">
            <v>164564.36737499991</v>
          </cell>
          <cell r="L27">
            <v>141795.85537500019</v>
          </cell>
          <cell r="M27">
            <v>323066.27540833288</v>
          </cell>
        </row>
        <row r="28">
          <cell r="B28">
            <v>103127.80472801506</v>
          </cell>
          <cell r="E28">
            <v>164849.48467499984</v>
          </cell>
          <cell r="F28">
            <v>12178.596999999991</v>
          </cell>
          <cell r="G28">
            <v>53245.441333333343</v>
          </cell>
          <cell r="H28">
            <v>29292.075950000006</v>
          </cell>
          <cell r="I28">
            <v>187037.47841666604</v>
          </cell>
          <cell r="J28">
            <v>132876.47454166639</v>
          </cell>
          <cell r="L28">
            <v>111072.47077500008</v>
          </cell>
          <cell r="M28">
            <v>253910.71507499943</v>
          </cell>
        </row>
        <row r="29">
          <cell r="B29">
            <v>81476.964052954732</v>
          </cell>
          <cell r="E29">
            <v>198889.62940833371</v>
          </cell>
          <cell r="F29">
            <v>14333.138600000008</v>
          </cell>
          <cell r="G29">
            <v>58824.779366666611</v>
          </cell>
          <cell r="H29">
            <v>32821.553041666652</v>
          </cell>
          <cell r="I29">
            <v>215743.93302500035</v>
          </cell>
          <cell r="J29">
            <v>171279.31495833339</v>
          </cell>
          <cell r="L29">
            <v>126104.57695833352</v>
          </cell>
          <cell r="M29">
            <v>263276.47252499976</v>
          </cell>
        </row>
        <row r="30">
          <cell r="B30">
            <v>126909.01088482176</v>
          </cell>
          <cell r="E30">
            <v>184118.76566666641</v>
          </cell>
          <cell r="F30">
            <v>13615.807499999994</v>
          </cell>
          <cell r="G30">
            <v>57669.195550000011</v>
          </cell>
          <cell r="H30">
            <v>30500.849358333329</v>
          </cell>
          <cell r="I30">
            <v>198311.63475833368</v>
          </cell>
          <cell r="J30">
            <v>143635.63974999977</v>
          </cell>
          <cell r="L30">
            <v>97102.971324999991</v>
          </cell>
          <cell r="M30">
            <v>275638.14699166687</v>
          </cell>
        </row>
        <row r="31">
          <cell r="B31">
            <v>107897.7991702135</v>
          </cell>
          <cell r="E31">
            <v>124485.83249999963</v>
          </cell>
          <cell r="F31">
            <v>11237.881316666671</v>
          </cell>
          <cell r="G31">
            <v>42201.299608333291</v>
          </cell>
          <cell r="H31">
            <v>19591.066883333344</v>
          </cell>
          <cell r="I31">
            <v>143883.46220833308</v>
          </cell>
          <cell r="J31">
            <v>129934.07386666673</v>
          </cell>
          <cell r="L31">
            <v>88772.377824999799</v>
          </cell>
          <cell r="M31">
            <v>217127.49733333374</v>
          </cell>
        </row>
        <row r="32">
          <cell r="B32">
            <v>92842.517988834501</v>
          </cell>
          <cell r="E32">
            <v>236351.1205416662</v>
          </cell>
          <cell r="F32">
            <v>16308.0327</v>
          </cell>
          <cell r="G32">
            <v>79390.800941666719</v>
          </cell>
          <cell r="H32">
            <v>43851.943574999983</v>
          </cell>
          <cell r="I32">
            <v>327799.65220833436</v>
          </cell>
          <cell r="J32">
            <v>228770.00403333339</v>
          </cell>
          <cell r="L32">
            <v>137989.15459999963</v>
          </cell>
          <cell r="M32">
            <v>325709.62889166787</v>
          </cell>
        </row>
        <row r="33">
          <cell r="B33">
            <v>59150.028672909117</v>
          </cell>
          <cell r="E33">
            <v>221162.11016584179</v>
          </cell>
          <cell r="F33">
            <v>13693.401208116997</v>
          </cell>
          <cell r="G33">
            <v>73833.206524874971</v>
          </cell>
          <cell r="H33">
            <v>42954.984508432986</v>
          </cell>
          <cell r="I33">
            <v>293133.0336996307</v>
          </cell>
          <cell r="J33">
            <v>203378.93580190488</v>
          </cell>
          <cell r="L33">
            <v>134129.08604196791</v>
          </cell>
          <cell r="M33">
            <v>336968.32440051081</v>
          </cell>
        </row>
        <row r="34">
          <cell r="B34">
            <v>72420.368988270362</v>
          </cell>
          <cell r="E34">
            <v>264127.10157519265</v>
          </cell>
          <cell r="F34">
            <v>16876.508924759997</v>
          </cell>
          <cell r="G34">
            <v>83622.690267167869</v>
          </cell>
          <cell r="H34">
            <v>47430.301050401031</v>
          </cell>
          <cell r="I34">
            <v>302987.15048306616</v>
          </cell>
          <cell r="J34">
            <v>234412.6375075907</v>
          </cell>
          <cell r="L34">
            <v>153791.39904084784</v>
          </cell>
          <cell r="M34">
            <v>355285.22714789765</v>
          </cell>
        </row>
        <row r="35">
          <cell r="B35">
            <v>62894.696582281293</v>
          </cell>
          <cell r="E35">
            <v>212523.81685947196</v>
          </cell>
          <cell r="F35">
            <v>14583.705299762009</v>
          </cell>
          <cell r="G35">
            <v>68135.798149995942</v>
          </cell>
          <cell r="H35">
            <v>38354.670316883967</v>
          </cell>
          <cell r="I35">
            <v>327212.68560931581</v>
          </cell>
          <cell r="J35">
            <v>250381.29007502869</v>
          </cell>
          <cell r="L35">
            <v>157919.68483275996</v>
          </cell>
          <cell r="M35">
            <v>434637.4171673758</v>
          </cell>
        </row>
        <row r="36">
          <cell r="B36">
            <v>133500.71320941756</v>
          </cell>
          <cell r="E36">
            <v>227591.2270750005</v>
          </cell>
          <cell r="F36">
            <v>15651.154858333332</v>
          </cell>
          <cell r="G36">
            <v>73157.091633333461</v>
          </cell>
          <cell r="H36">
            <v>39384.955316666637</v>
          </cell>
          <cell r="I36">
            <v>330057.32778333331</v>
          </cell>
          <cell r="J36">
            <v>306956.08621666679</v>
          </cell>
          <cell r="L36">
            <v>211986.1377999995</v>
          </cell>
          <cell r="M36">
            <v>520720.87234999979</v>
          </cell>
        </row>
      </sheetData>
      <sheetData sheetId="5">
        <row r="16">
          <cell r="B16">
            <v>216216</v>
          </cell>
          <cell r="C16">
            <v>72864</v>
          </cell>
        </row>
        <row r="23">
          <cell r="B23">
            <v>1216215</v>
          </cell>
          <cell r="C23">
            <v>409860</v>
          </cell>
        </row>
      </sheetData>
      <sheetData sheetId="6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113300</v>
          </cell>
        </row>
        <row r="15">
          <cell r="F15">
            <v>330200</v>
          </cell>
        </row>
        <row r="16">
          <cell r="F16">
            <v>0</v>
          </cell>
        </row>
        <row r="17">
          <cell r="F17">
            <v>282500</v>
          </cell>
        </row>
        <row r="18">
          <cell r="F18">
            <v>0</v>
          </cell>
        </row>
        <row r="19">
          <cell r="F19">
            <v>229300</v>
          </cell>
        </row>
        <row r="20">
          <cell r="F20">
            <v>0</v>
          </cell>
        </row>
        <row r="21">
          <cell r="F21">
            <v>242800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82100</v>
          </cell>
        </row>
        <row r="28">
          <cell r="F28">
            <v>0</v>
          </cell>
        </row>
        <row r="29">
          <cell r="F29">
            <v>92000</v>
          </cell>
        </row>
        <row r="30">
          <cell r="F30">
            <v>122400</v>
          </cell>
        </row>
        <row r="31">
          <cell r="F31">
            <v>286000</v>
          </cell>
        </row>
        <row r="32">
          <cell r="F32">
            <v>423200</v>
          </cell>
        </row>
        <row r="33">
          <cell r="F33">
            <v>19900</v>
          </cell>
        </row>
        <row r="34">
          <cell r="F34">
            <v>0</v>
          </cell>
        </row>
      </sheetData>
      <sheetData sheetId="7">
        <row r="15">
          <cell r="B15">
            <v>75620.734909058767</v>
          </cell>
          <cell r="C15">
            <v>535.41391460684099</v>
          </cell>
          <cell r="D15">
            <v>7273.6430051538118</v>
          </cell>
          <cell r="E15">
            <v>42229.04553888888</v>
          </cell>
          <cell r="F15">
            <v>33228.906594123044</v>
          </cell>
          <cell r="G15">
            <v>67603.671681703403</v>
          </cell>
          <cell r="H15">
            <v>81012.241094696976</v>
          </cell>
          <cell r="I15">
            <v>40956.786818227731</v>
          </cell>
          <cell r="Q15">
            <v>30339.130269017445</v>
          </cell>
          <cell r="R15">
            <v>191.23391207741051</v>
          </cell>
          <cell r="S15">
            <v>7273.6430051538118</v>
          </cell>
          <cell r="T15">
            <v>16978.965618112947</v>
          </cell>
          <cell r="U15">
            <v>13083.21752100551</v>
          </cell>
          <cell r="V15">
            <v>28532.564491505967</v>
          </cell>
          <cell r="W15">
            <v>38686.163164600548</v>
          </cell>
          <cell r="X15">
            <v>17911.926152892564</v>
          </cell>
        </row>
        <row r="16">
          <cell r="B16">
            <v>80904.734540358128</v>
          </cell>
          <cell r="C16">
            <v>558.35973049226345</v>
          </cell>
          <cell r="D16">
            <v>6789.6984462006421</v>
          </cell>
          <cell r="E16">
            <v>41547.737381783751</v>
          </cell>
          <cell r="F16">
            <v>35729.064196166204</v>
          </cell>
          <cell r="G16">
            <v>74094.559616965096</v>
          </cell>
          <cell r="H16">
            <v>111432.86207874198</v>
          </cell>
          <cell r="I16">
            <v>40555.611611340682</v>
          </cell>
          <cell r="Q16">
            <v>37161.343011425619</v>
          </cell>
          <cell r="R16">
            <v>203.9702568891644</v>
          </cell>
          <cell r="S16">
            <v>6789.6984462006421</v>
          </cell>
          <cell r="T16">
            <v>19041.74892217631</v>
          </cell>
          <cell r="U16">
            <v>13792.670632231406</v>
          </cell>
          <cell r="V16">
            <v>27812.828723599632</v>
          </cell>
          <cell r="W16">
            <v>43669.715557851232</v>
          </cell>
          <cell r="X16">
            <v>20567.98931841139</v>
          </cell>
        </row>
        <row r="17">
          <cell r="B17">
            <v>95907.278229331947</v>
          </cell>
          <cell r="C17">
            <v>607.44017149387059</v>
          </cell>
          <cell r="D17">
            <v>9633.6548058884309</v>
          </cell>
          <cell r="E17">
            <v>47174.227265886133</v>
          </cell>
          <cell r="F17">
            <v>37250.669165863175</v>
          </cell>
          <cell r="G17">
            <v>69425.906513314971</v>
          </cell>
          <cell r="H17">
            <v>119943.29158057852</v>
          </cell>
          <cell r="I17">
            <v>44001.394854224054</v>
          </cell>
          <cell r="Q17">
            <v>34517.021859825523</v>
          </cell>
          <cell r="R17">
            <v>223.71997199476581</v>
          </cell>
          <cell r="S17">
            <v>9633.6548058884309</v>
          </cell>
          <cell r="T17">
            <v>20227.927660123969</v>
          </cell>
          <cell r="U17">
            <v>14092.270339761249</v>
          </cell>
          <cell r="V17">
            <v>26702.193653581264</v>
          </cell>
          <cell r="W17">
            <v>42763.03510674931</v>
          </cell>
          <cell r="X17">
            <v>20897.486120293848</v>
          </cell>
        </row>
        <row r="18">
          <cell r="B18">
            <v>93216.145869905886</v>
          </cell>
          <cell r="C18">
            <v>662.13992493810838</v>
          </cell>
          <cell r="D18">
            <v>10411.398908172636</v>
          </cell>
          <cell r="E18">
            <v>50989.351960261709</v>
          </cell>
          <cell r="F18">
            <v>39970.899557047756</v>
          </cell>
          <cell r="G18">
            <v>66539.710486799828</v>
          </cell>
          <cell r="H18">
            <v>113336.70240013773</v>
          </cell>
          <cell r="I18">
            <v>47350.189425045915</v>
          </cell>
          <cell r="Q18">
            <v>36187.108464807156</v>
          </cell>
          <cell r="R18">
            <v>239.369536273921</v>
          </cell>
          <cell r="S18">
            <v>10411.398908172636</v>
          </cell>
          <cell r="T18">
            <v>19465.650408516987</v>
          </cell>
          <cell r="U18">
            <v>14800.356626033055</v>
          </cell>
          <cell r="V18">
            <v>26847.573529614328</v>
          </cell>
          <cell r="W18">
            <v>40137.54918273646</v>
          </cell>
          <cell r="X18">
            <v>20398.63043663912</v>
          </cell>
        </row>
        <row r="19">
          <cell r="B19">
            <v>101877.13518526169</v>
          </cell>
          <cell r="C19">
            <v>704.11394491053716</v>
          </cell>
          <cell r="D19">
            <v>8996.8430619834708</v>
          </cell>
          <cell r="E19">
            <v>49104.713731680444</v>
          </cell>
          <cell r="F19">
            <v>42056.185024334249</v>
          </cell>
          <cell r="G19">
            <v>66528.520144283742</v>
          </cell>
          <cell r="H19">
            <v>108230.99871212122</v>
          </cell>
          <cell r="I19">
            <v>47287.362866965101</v>
          </cell>
          <cell r="Q19">
            <v>33609.607055096421</v>
          </cell>
          <cell r="R19">
            <v>238.52696304159781</v>
          </cell>
          <cell r="S19">
            <v>8996.8430619834708</v>
          </cell>
          <cell r="T19">
            <v>19143.789053374654</v>
          </cell>
          <cell r="U19">
            <v>15532.273843549126</v>
          </cell>
          <cell r="V19">
            <v>25773.74528466483</v>
          </cell>
          <cell r="W19">
            <v>37150.472097107442</v>
          </cell>
          <cell r="X19">
            <v>19762.035106978878</v>
          </cell>
        </row>
        <row r="20">
          <cell r="B20">
            <v>95952.799743916446</v>
          </cell>
          <cell r="C20">
            <v>699.51380602307154</v>
          </cell>
          <cell r="D20">
            <v>9752.7319524793384</v>
          </cell>
          <cell r="E20">
            <v>49737.504888406787</v>
          </cell>
          <cell r="F20">
            <v>44972.638863521584</v>
          </cell>
          <cell r="G20">
            <v>68550.5174367539</v>
          </cell>
          <cell r="H20">
            <v>99419.488224288347</v>
          </cell>
          <cell r="I20">
            <v>46728.438064393937</v>
          </cell>
          <cell r="Q20">
            <v>32036.361253168048</v>
          </cell>
          <cell r="R20">
            <v>237.77296510771339</v>
          </cell>
          <cell r="S20">
            <v>9752.7319524793384</v>
          </cell>
          <cell r="T20">
            <v>17261.216135674931</v>
          </cell>
          <cell r="U20">
            <v>17083.706045684114</v>
          </cell>
          <cell r="V20">
            <v>36509.788758034898</v>
          </cell>
          <cell r="W20">
            <v>34557.528820018364</v>
          </cell>
          <cell r="X20">
            <v>18719.610476928374</v>
          </cell>
        </row>
        <row r="21">
          <cell r="B21">
            <v>85303.75391549585</v>
          </cell>
          <cell r="C21">
            <v>704.2977881167127</v>
          </cell>
          <cell r="D21">
            <v>10329.201356634527</v>
          </cell>
          <cell r="E21">
            <v>44108.473845936642</v>
          </cell>
          <cell r="F21">
            <v>41028.037532713497</v>
          </cell>
          <cell r="G21">
            <v>94731.658516988056</v>
          </cell>
          <cell r="H21">
            <v>91295.888945133149</v>
          </cell>
          <cell r="I21">
            <v>45219.408979224056</v>
          </cell>
          <cell r="Q21">
            <v>35644.317619651061</v>
          </cell>
          <cell r="R21">
            <v>252.07045753266763</v>
          </cell>
          <cell r="S21">
            <v>10329.201356634527</v>
          </cell>
          <cell r="T21">
            <v>18555.19279752066</v>
          </cell>
          <cell r="U21">
            <v>14922.783075872361</v>
          </cell>
          <cell r="V21">
            <v>32234.025449954082</v>
          </cell>
          <cell r="W21">
            <v>36923.611238521582</v>
          </cell>
          <cell r="X21">
            <v>20460.468518939397</v>
          </cell>
        </row>
        <row r="22">
          <cell r="B22">
            <v>90713.076344972462</v>
          </cell>
          <cell r="C22">
            <v>743.86034137591821</v>
          </cell>
          <cell r="D22">
            <v>10688.232430899909</v>
          </cell>
          <cell r="E22">
            <v>47636.34413350551</v>
          </cell>
          <cell r="F22">
            <v>39221.713846533516</v>
          </cell>
          <cell r="G22">
            <v>83580.906050275487</v>
          </cell>
          <cell r="H22">
            <v>102830.5818778696</v>
          </cell>
          <cell r="I22">
            <v>46888.053933884301</v>
          </cell>
          <cell r="Q22">
            <v>30849.338495156109</v>
          </cell>
          <cell r="R22">
            <v>260.13696981597792</v>
          </cell>
          <cell r="S22">
            <v>10688.232430899909</v>
          </cell>
          <cell r="T22">
            <v>19312.976892561986</v>
          </cell>
          <cell r="U22">
            <v>14625.498255280072</v>
          </cell>
          <cell r="V22">
            <v>31487.515747245176</v>
          </cell>
          <cell r="W22">
            <v>41301.589369834706</v>
          </cell>
          <cell r="X22">
            <v>20411.108823806248</v>
          </cell>
        </row>
        <row r="23">
          <cell r="B23">
            <v>90395.343258629466</v>
          </cell>
          <cell r="C23">
            <v>785.31529615091813</v>
          </cell>
          <cell r="D23">
            <v>9970.2769543158865</v>
          </cell>
          <cell r="E23">
            <v>49528.032361903126</v>
          </cell>
          <cell r="F23">
            <v>40412.769116850322</v>
          </cell>
          <cell r="G23">
            <v>83357.424325068874</v>
          </cell>
          <cell r="H23">
            <v>116106.38754476584</v>
          </cell>
          <cell r="I23">
            <v>47929.43442389807</v>
          </cell>
          <cell r="Q23">
            <v>33925.572226154734</v>
          </cell>
          <cell r="R23">
            <v>270.36737580631313</v>
          </cell>
          <cell r="S23">
            <v>9970.2769543158865</v>
          </cell>
          <cell r="T23">
            <v>17681.831159320478</v>
          </cell>
          <cell r="U23">
            <v>14230.677818755739</v>
          </cell>
          <cell r="V23">
            <v>30793.794086317721</v>
          </cell>
          <cell r="W23">
            <v>38593.927896005509</v>
          </cell>
          <cell r="X23">
            <v>19368.504236455461</v>
          </cell>
        </row>
        <row r="24">
          <cell r="B24">
            <v>86839.564502653811</v>
          </cell>
          <cell r="C24">
            <v>795.91085239377867</v>
          </cell>
          <cell r="D24">
            <v>9626.336319903583</v>
          </cell>
          <cell r="E24">
            <v>45158.504490323685</v>
          </cell>
          <cell r="F24">
            <v>36196.741897727276</v>
          </cell>
          <cell r="G24">
            <v>78610.129641873282</v>
          </cell>
          <cell r="H24">
            <v>101739.22267561982</v>
          </cell>
          <cell r="I24">
            <v>46782.184829430676</v>
          </cell>
          <cell r="Q24">
            <v>32335.936858260793</v>
          </cell>
          <cell r="R24">
            <v>273.89154339054181</v>
          </cell>
          <cell r="S24">
            <v>9626.336319903583</v>
          </cell>
          <cell r="T24">
            <v>19633.372798209366</v>
          </cell>
          <cell r="U24">
            <v>14378.923537075298</v>
          </cell>
          <cell r="V24">
            <v>30657.951594352617</v>
          </cell>
          <cell r="W24">
            <v>38137.6866402663</v>
          </cell>
          <cell r="X24">
            <v>21226.318905647382</v>
          </cell>
        </row>
        <row r="25">
          <cell r="B25">
            <v>85563.610781251147</v>
          </cell>
          <cell r="C25">
            <v>805.0133863733472</v>
          </cell>
          <cell r="D25">
            <v>10232.696104453627</v>
          </cell>
          <cell r="E25">
            <v>49711.515429752064</v>
          </cell>
          <cell r="F25">
            <v>37976.559945707064</v>
          </cell>
          <cell r="G25">
            <v>82400.531989210285</v>
          </cell>
          <cell r="H25">
            <v>103598.83645661158</v>
          </cell>
          <cell r="I25">
            <v>48265.665889807162</v>
          </cell>
          <cell r="Q25">
            <v>32917.99057961662</v>
          </cell>
          <cell r="R25">
            <v>281.50340679804867</v>
          </cell>
          <cell r="S25">
            <v>10232.696104453627</v>
          </cell>
          <cell r="T25">
            <v>20108.576188360879</v>
          </cell>
          <cell r="U25">
            <v>14453.73372704316</v>
          </cell>
          <cell r="V25">
            <v>30132.481038797057</v>
          </cell>
          <cell r="W25">
            <v>35674.511572543619</v>
          </cell>
          <cell r="X25">
            <v>20476.26191483012</v>
          </cell>
        </row>
        <row r="26">
          <cell r="B26">
            <v>87683.152888035125</v>
          </cell>
          <cell r="C26">
            <v>827.5364724593893</v>
          </cell>
          <cell r="D26">
            <v>10311.230230945821</v>
          </cell>
          <cell r="E26">
            <v>52080.774801882464</v>
          </cell>
          <cell r="F26">
            <v>37551.865329545457</v>
          </cell>
          <cell r="G26">
            <v>78569.614738292003</v>
          </cell>
          <cell r="H26">
            <v>94368.958583562911</v>
          </cell>
          <cell r="I26">
            <v>49520.700871441688</v>
          </cell>
          <cell r="Q26">
            <v>32066.529123448123</v>
          </cell>
          <cell r="R26">
            <v>289.56352640387968</v>
          </cell>
          <cell r="S26">
            <v>10311.230230945821</v>
          </cell>
          <cell r="T26">
            <v>20674.300359618916</v>
          </cell>
          <cell r="U26">
            <v>14521.329276400367</v>
          </cell>
          <cell r="V26">
            <v>29533.726891643713</v>
          </cell>
          <cell r="W26">
            <v>35443.966714876035</v>
          </cell>
          <cell r="X26">
            <v>20632.178629820937</v>
          </cell>
        </row>
        <row r="27">
          <cell r="B27">
            <v>85034.603895828739</v>
          </cell>
          <cell r="C27">
            <v>851.17299243264461</v>
          </cell>
          <cell r="D27">
            <v>10815.143954086318</v>
          </cell>
          <cell r="E27">
            <v>52712.125589876028</v>
          </cell>
          <cell r="F27">
            <v>37649.294974517907</v>
          </cell>
          <cell r="G27">
            <v>77042.303244949493</v>
          </cell>
          <cell r="H27">
            <v>94840.924276859514</v>
          </cell>
          <cell r="I27">
            <v>49916.583999081733</v>
          </cell>
          <cell r="Q27">
            <v>38733.650435101008</v>
          </cell>
          <cell r="R27">
            <v>308.69208517270431</v>
          </cell>
          <cell r="S27">
            <v>10815.143954086318</v>
          </cell>
          <cell r="T27">
            <v>22331.227922405873</v>
          </cell>
          <cell r="U27">
            <v>15063.648400137741</v>
          </cell>
          <cell r="V27">
            <v>31129.044748622589</v>
          </cell>
          <cell r="W27">
            <v>43018.17574265381</v>
          </cell>
          <cell r="X27">
            <v>22830.588366735537</v>
          </cell>
        </row>
        <row r="28">
          <cell r="B28">
            <v>100626.97523110469</v>
          </cell>
          <cell r="C28">
            <v>900.0734864645317</v>
          </cell>
          <cell r="D28">
            <v>11445.415553030303</v>
          </cell>
          <cell r="E28">
            <v>57161.389603764925</v>
          </cell>
          <cell r="F28">
            <v>41386.383090679519</v>
          </cell>
          <cell r="G28">
            <v>81235.763650137727</v>
          </cell>
          <cell r="H28">
            <v>122718.46724632691</v>
          </cell>
          <cell r="I28">
            <v>53205.589317263541</v>
          </cell>
          <cell r="Q28">
            <v>37849.159535192841</v>
          </cell>
          <cell r="R28">
            <v>317.7678581309458</v>
          </cell>
          <cell r="S28">
            <v>11445.415553030303</v>
          </cell>
          <cell r="T28">
            <v>21359.821276629937</v>
          </cell>
          <cell r="U28">
            <v>15588.080247589533</v>
          </cell>
          <cell r="V28">
            <v>31268.130555555555</v>
          </cell>
          <cell r="W28">
            <v>42880.204702708907</v>
          </cell>
          <cell r="X28">
            <v>22275.353222451791</v>
          </cell>
        </row>
        <row r="29">
          <cell r="B29">
            <v>100189.03432203857</v>
          </cell>
          <cell r="C29">
            <v>927.91252434256216</v>
          </cell>
          <cell r="D29">
            <v>10569.431094123049</v>
          </cell>
          <cell r="E29">
            <v>54398.9747790404</v>
          </cell>
          <cell r="F29">
            <v>41473.013062098253</v>
          </cell>
          <cell r="G29">
            <v>79057.532112029381</v>
          </cell>
          <cell r="H29">
            <v>114141.67059573001</v>
          </cell>
          <cell r="I29">
            <v>54499.922481864094</v>
          </cell>
          <cell r="Q29">
            <v>52100.589757047746</v>
          </cell>
          <cell r="R29">
            <v>341.69994444797982</v>
          </cell>
          <cell r="S29">
            <v>10569.431094123049</v>
          </cell>
          <cell r="T29">
            <v>26298.935654958674</v>
          </cell>
          <cell r="U29">
            <v>17271.477723484848</v>
          </cell>
          <cell r="V29">
            <v>33293.572195821856</v>
          </cell>
          <cell r="W29">
            <v>47780.839897842059</v>
          </cell>
          <cell r="X29">
            <v>25731.523256427914</v>
          </cell>
        </row>
        <row r="30">
          <cell r="B30">
            <v>127021.02411944445</v>
          </cell>
          <cell r="C30">
            <v>991.52965428117534</v>
          </cell>
          <cell r="D30">
            <v>14251.52540828742</v>
          </cell>
          <cell r="E30">
            <v>70189.311340909102</v>
          </cell>
          <cell r="F30">
            <v>50506.82832529844</v>
          </cell>
          <cell r="G30">
            <v>82849.898310376477</v>
          </cell>
          <cell r="H30">
            <v>133148.01637052343</v>
          </cell>
          <cell r="I30">
            <v>59881.946567837462</v>
          </cell>
          <cell r="Q30">
            <v>51484.05084708448</v>
          </cell>
          <cell r="R30">
            <v>358.14678788301194</v>
          </cell>
          <cell r="S30">
            <v>14251.52540828742</v>
          </cell>
          <cell r="T30">
            <v>27031.962001951331</v>
          </cell>
          <cell r="U30">
            <v>18902.94900975666</v>
          </cell>
          <cell r="V30">
            <v>31171.23574724518</v>
          </cell>
          <cell r="W30">
            <v>49312.053588154275</v>
          </cell>
          <cell r="X30">
            <v>26051.264382460973</v>
          </cell>
        </row>
        <row r="31">
          <cell r="B31">
            <v>137846.20083972221</v>
          </cell>
          <cell r="C31">
            <v>1035.0838859164139</v>
          </cell>
          <cell r="D31">
            <v>17876.376994490362</v>
          </cell>
          <cell r="E31">
            <v>71124.087455234156</v>
          </cell>
          <cell r="F31">
            <v>53056.823768480259</v>
          </cell>
          <cell r="G31">
            <v>79392.527722681363</v>
          </cell>
          <cell r="H31">
            <v>130128.33769513314</v>
          </cell>
          <cell r="I31">
            <v>64735.222155188239</v>
          </cell>
          <cell r="Q31">
            <v>53985.469343365483</v>
          </cell>
          <cell r="R31">
            <v>387.32174219889805</v>
          </cell>
          <cell r="S31">
            <v>17876.376994490362</v>
          </cell>
          <cell r="T31">
            <v>26126.623027777779</v>
          </cell>
          <cell r="U31">
            <v>19622.921775022958</v>
          </cell>
          <cell r="V31">
            <v>29659.461520890727</v>
          </cell>
          <cell r="W31">
            <v>49191.744123048673</v>
          </cell>
          <cell r="X31">
            <v>25121.964505280073</v>
          </cell>
        </row>
        <row r="32">
          <cell r="B32">
            <v>139639.12820787649</v>
          </cell>
          <cell r="C32">
            <v>1069.122948818067</v>
          </cell>
          <cell r="D32">
            <v>17400.856615243345</v>
          </cell>
          <cell r="E32">
            <v>69716.838856864095</v>
          </cell>
          <cell r="F32">
            <v>52662.634164600546</v>
          </cell>
          <cell r="G32">
            <v>76369.7842412764</v>
          </cell>
          <cell r="H32">
            <v>130313.58340335169</v>
          </cell>
          <cell r="I32">
            <v>63492.514746786044</v>
          </cell>
          <cell r="Q32">
            <v>46722.184787327817</v>
          </cell>
          <cell r="R32">
            <v>396.74967883730483</v>
          </cell>
          <cell r="S32">
            <v>17400.856615243345</v>
          </cell>
          <cell r="T32">
            <v>27153.573658746554</v>
          </cell>
          <cell r="U32">
            <v>19272.640631887054</v>
          </cell>
          <cell r="V32">
            <v>28771.407584940313</v>
          </cell>
          <cell r="W32">
            <v>46055.424251606979</v>
          </cell>
          <cell r="X32">
            <v>26012.036929522503</v>
          </cell>
        </row>
        <row r="33">
          <cell r="B33">
            <v>128055.5772928145</v>
          </cell>
          <cell r="C33">
            <v>1096.8017936291324</v>
          </cell>
          <cell r="D33">
            <v>16876.994053719009</v>
          </cell>
          <cell r="E33">
            <v>73806.725076905423</v>
          </cell>
          <cell r="F33">
            <v>55094.999926538105</v>
          </cell>
          <cell r="G33">
            <v>73604.682403581275</v>
          </cell>
          <cell r="H33">
            <v>123615.99449494948</v>
          </cell>
          <cell r="I33">
            <v>63921.442826905411</v>
          </cell>
          <cell r="Q33">
            <v>54933.531080027555</v>
          </cell>
          <cell r="R33">
            <v>426.12597452213038</v>
          </cell>
          <cell r="S33">
            <v>16876.994053719009</v>
          </cell>
          <cell r="T33">
            <v>28015.23285847107</v>
          </cell>
          <cell r="U33">
            <v>20426.851989210285</v>
          </cell>
          <cell r="V33">
            <v>27291.613813131313</v>
          </cell>
          <cell r="W33">
            <v>42726.484237832876</v>
          </cell>
          <cell r="X33">
            <v>25881.356155876951</v>
          </cell>
        </row>
        <row r="34">
          <cell r="B34">
            <v>136144.73138567724</v>
          </cell>
          <cell r="C34">
            <v>1134.8286063013084</v>
          </cell>
          <cell r="D34">
            <v>16806.932499426082</v>
          </cell>
          <cell r="E34">
            <v>75499.095848140496</v>
          </cell>
          <cell r="F34">
            <v>55901.6220726584</v>
          </cell>
          <cell r="G34">
            <v>72448.004449724511</v>
          </cell>
          <cell r="H34">
            <v>117540.59646808999</v>
          </cell>
          <cell r="I34">
            <v>65609.379898530766</v>
          </cell>
          <cell r="Q34">
            <v>55711.477907093664</v>
          </cell>
          <cell r="R34">
            <v>416.45478696404962</v>
          </cell>
          <cell r="S34">
            <v>16806.932499426082</v>
          </cell>
          <cell r="T34">
            <v>26000.715800964186</v>
          </cell>
          <cell r="U34">
            <v>22953.479148301194</v>
          </cell>
          <cell r="V34">
            <v>33159.758432047747</v>
          </cell>
          <cell r="W34">
            <v>40498.659858815423</v>
          </cell>
          <cell r="X34">
            <v>24072.430445362716</v>
          </cell>
        </row>
        <row r="35">
          <cell r="B35">
            <v>140036.36215929064</v>
          </cell>
          <cell r="C35">
            <v>1155.9055686528238</v>
          </cell>
          <cell r="D35">
            <v>15546.562448806246</v>
          </cell>
          <cell r="E35">
            <v>68611.931367539029</v>
          </cell>
          <cell r="F35">
            <v>56435.038855257117</v>
          </cell>
          <cell r="G35">
            <v>90689.78916896235</v>
          </cell>
          <cell r="H35">
            <v>111202.98542470156</v>
          </cell>
          <cell r="I35">
            <v>62946.102332988972</v>
          </cell>
          <cell r="Q35">
            <v>50997.240929269974</v>
          </cell>
          <cell r="R35">
            <v>432.15403306207526</v>
          </cell>
          <cell r="S35">
            <v>15546.562448806246</v>
          </cell>
          <cell r="T35">
            <v>24337.103766988064</v>
          </cell>
          <cell r="U35">
            <v>19633.981022153352</v>
          </cell>
          <cell r="V35">
            <v>43044.031177685953</v>
          </cell>
          <cell r="W35">
            <v>42575.054403122129</v>
          </cell>
          <cell r="X35">
            <v>23648.433204775021</v>
          </cell>
        </row>
        <row r="36">
          <cell r="B36">
            <v>129035.07940895317</v>
          </cell>
          <cell r="C36">
            <v>1170.7274237958218</v>
          </cell>
          <cell r="D36">
            <v>14621.889350091828</v>
          </cell>
          <cell r="E36">
            <v>63284.780803374662</v>
          </cell>
          <cell r="F36">
            <v>50075.91178799358</v>
          </cell>
          <cell r="G36">
            <v>111952.58152548209</v>
          </cell>
          <cell r="H36">
            <v>108368.79173324151</v>
          </cell>
          <cell r="I36">
            <v>61218.260139003673</v>
          </cell>
          <cell r="Q36">
            <v>37951.841197754824</v>
          </cell>
          <cell r="R36">
            <v>400.88483586280995</v>
          </cell>
          <cell r="S36">
            <v>14621.889350091828</v>
          </cell>
          <cell r="T36">
            <v>23925.222936524337</v>
          </cell>
          <cell r="U36">
            <v>18756.519202479343</v>
          </cell>
          <cell r="V36">
            <v>40135.966252295686</v>
          </cell>
          <cell r="W36">
            <v>41723.854056473829</v>
          </cell>
          <cell r="X36">
            <v>22932.223092286502</v>
          </cell>
        </row>
        <row r="37">
          <cell r="B37">
            <v>105567.33568620293</v>
          </cell>
          <cell r="C37">
            <v>1165.2829850905878</v>
          </cell>
          <cell r="D37">
            <v>13886.877752869606</v>
          </cell>
          <cell r="E37">
            <v>61841.642136019283</v>
          </cell>
          <cell r="F37">
            <v>47453.483226010096</v>
          </cell>
          <cell r="G37">
            <v>102556.28974403122</v>
          </cell>
          <cell r="H37">
            <v>117029.87976928374</v>
          </cell>
          <cell r="I37">
            <v>59652.912010101012</v>
          </cell>
          <cell r="Q37">
            <v>35471.17059621212</v>
          </cell>
          <cell r="R37">
            <v>411.81833907676764</v>
          </cell>
          <cell r="S37">
            <v>13886.877752869606</v>
          </cell>
          <cell r="T37">
            <v>23408.783440656563</v>
          </cell>
          <cell r="U37">
            <v>17871.730720041323</v>
          </cell>
          <cell r="V37">
            <v>40505.232335858585</v>
          </cell>
          <cell r="W37">
            <v>43662.131895087237</v>
          </cell>
          <cell r="X37">
            <v>23074.42682805326</v>
          </cell>
        </row>
        <row r="38">
          <cell r="B38">
            <v>98557.445392254347</v>
          </cell>
          <cell r="C38">
            <v>1174.6765335302341</v>
          </cell>
          <cell r="D38">
            <v>13443.879165863178</v>
          </cell>
          <cell r="E38">
            <v>59515.461465220389</v>
          </cell>
          <cell r="F38">
            <v>43688.02173220845</v>
          </cell>
          <cell r="G38">
            <v>103124.44558195592</v>
          </cell>
          <cell r="H38">
            <v>119825.19956382003</v>
          </cell>
          <cell r="I38">
            <v>59570.887882575757</v>
          </cell>
          <cell r="Q38">
            <v>33799.393550865476</v>
          </cell>
          <cell r="R38">
            <v>420.88967883801655</v>
          </cell>
          <cell r="S38">
            <v>13443.879165863178</v>
          </cell>
          <cell r="T38">
            <v>24596.707355831037</v>
          </cell>
          <cell r="U38">
            <v>16851.576563820017</v>
          </cell>
          <cell r="V38">
            <v>36732.958449265381</v>
          </cell>
          <cell r="W38">
            <v>41265.800269742882</v>
          </cell>
          <cell r="X38">
            <v>23013.79923794766</v>
          </cell>
        </row>
        <row r="39">
          <cell r="B39">
            <v>96558.032730977269</v>
          </cell>
          <cell r="C39">
            <v>1201.9879237965793</v>
          </cell>
          <cell r="D39">
            <v>12946.473551652893</v>
          </cell>
          <cell r="E39">
            <v>64135.038425849401</v>
          </cell>
          <cell r="F39">
            <v>41222.826891414137</v>
          </cell>
          <cell r="G39">
            <v>95254.708420569339</v>
          </cell>
          <cell r="H39">
            <v>110331.55643709826</v>
          </cell>
          <cell r="I39">
            <v>59594.168310606066</v>
          </cell>
          <cell r="Q39">
            <v>43530.600319375575</v>
          </cell>
          <cell r="R39">
            <v>500.63119904003673</v>
          </cell>
          <cell r="S39">
            <v>12946.473551652893</v>
          </cell>
          <cell r="T39">
            <v>32410.486139003671</v>
          </cell>
          <cell r="U39">
            <v>17791.938049586777</v>
          </cell>
          <cell r="V39">
            <v>38135.162093663908</v>
          </cell>
          <cell r="W39">
            <v>53262.777679063358</v>
          </cell>
          <cell r="X39">
            <v>28327.944741735537</v>
          </cell>
        </row>
      </sheetData>
      <sheetData sheetId="8">
        <row r="8">
          <cell r="C8">
            <v>2151.2400000000002</v>
          </cell>
          <cell r="D8">
            <v>1639.0699999999997</v>
          </cell>
          <cell r="E8">
            <v>2833.43</v>
          </cell>
          <cell r="F8">
            <v>3696.1499999999996</v>
          </cell>
          <cell r="G8">
            <v>3667.3100000000009</v>
          </cell>
        </row>
        <row r="9">
          <cell r="C9">
            <v>2133.7600000000002</v>
          </cell>
          <cell r="D9">
            <v>1721.0199999999995</v>
          </cell>
          <cell r="E9">
            <v>2975.59</v>
          </cell>
          <cell r="F9">
            <v>3731.8500000000004</v>
          </cell>
          <cell r="G9">
            <v>3725.04</v>
          </cell>
        </row>
        <row r="10">
          <cell r="C10">
            <v>2385.6400000000008</v>
          </cell>
          <cell r="D10">
            <v>1719.7699999999998</v>
          </cell>
          <cell r="E10">
            <v>3133.5499999999993</v>
          </cell>
          <cell r="F10">
            <v>3767.9200000000005</v>
          </cell>
          <cell r="G10">
            <v>3781.0200000000004</v>
          </cell>
        </row>
        <row r="11">
          <cell r="C11">
            <v>2609.46</v>
          </cell>
          <cell r="D11">
            <v>1732.0099999999998</v>
          </cell>
          <cell r="E11">
            <v>3189.7299999999996</v>
          </cell>
          <cell r="F11">
            <v>3963.58</v>
          </cell>
          <cell r="G11">
            <v>3665.45</v>
          </cell>
        </row>
        <row r="12">
          <cell r="C12">
            <v>2620.6699999999996</v>
          </cell>
          <cell r="D12">
            <v>1732.6399999999999</v>
          </cell>
          <cell r="E12">
            <v>3260.4400000000005</v>
          </cell>
          <cell r="F12">
            <v>4176.28</v>
          </cell>
          <cell r="G12">
            <v>3546.0299999999997</v>
          </cell>
        </row>
        <row r="13">
          <cell r="C13">
            <v>2637.27</v>
          </cell>
          <cell r="D13">
            <v>1738.8799999999999</v>
          </cell>
          <cell r="E13">
            <v>3323.1</v>
          </cell>
          <cell r="F13">
            <v>4250.04</v>
          </cell>
          <cell r="G13">
            <v>3561.39</v>
          </cell>
        </row>
        <row r="14">
          <cell r="C14">
            <v>2824.3699999999994</v>
          </cell>
          <cell r="D14">
            <v>1586.4499999999998</v>
          </cell>
          <cell r="E14">
            <v>3366.0299999999997</v>
          </cell>
          <cell r="F14">
            <v>4296.99</v>
          </cell>
          <cell r="G14">
            <v>3571.1100000000006</v>
          </cell>
        </row>
        <row r="15">
          <cell r="C15">
            <v>2995.45</v>
          </cell>
          <cell r="D15">
            <v>1427.0399999999997</v>
          </cell>
          <cell r="E15">
            <v>3512.3199999999997</v>
          </cell>
          <cell r="F15">
            <v>4342.71</v>
          </cell>
          <cell r="G15">
            <v>3592.8500000000004</v>
          </cell>
        </row>
        <row r="16">
          <cell r="C16">
            <v>3006.6800000000003</v>
          </cell>
          <cell r="D16">
            <v>1430</v>
          </cell>
          <cell r="E16">
            <v>3700.1000000000004</v>
          </cell>
          <cell r="F16">
            <v>4390.880000000001</v>
          </cell>
          <cell r="G16">
            <v>3658.2300000000005</v>
          </cell>
        </row>
        <row r="17">
          <cell r="C17">
            <v>3018.17</v>
          </cell>
          <cell r="D17">
            <v>1434.54</v>
          </cell>
          <cell r="E17">
            <v>3807.75</v>
          </cell>
          <cell r="F17">
            <v>4434.2900000000009</v>
          </cell>
          <cell r="G17">
            <v>3714.6500000000005</v>
          </cell>
        </row>
        <row r="18">
          <cell r="C18">
            <v>3263.86</v>
          </cell>
          <cell r="D18">
            <v>1436.1599999999999</v>
          </cell>
          <cell r="E18">
            <v>3902.5000000000005</v>
          </cell>
          <cell r="F18">
            <v>4476.0700000000006</v>
          </cell>
          <cell r="G18">
            <v>3781.2699999999995</v>
          </cell>
        </row>
        <row r="19">
          <cell r="C19">
            <v>3481.9600000000005</v>
          </cell>
          <cell r="D19">
            <v>1437.4499999999998</v>
          </cell>
          <cell r="E19">
            <v>3980.2599999999993</v>
          </cell>
          <cell r="F19">
            <v>4516.6499999999996</v>
          </cell>
          <cell r="G19">
            <v>3837.0899999999997</v>
          </cell>
        </row>
        <row r="20">
          <cell r="C20">
            <v>3495.4500000000003</v>
          </cell>
          <cell r="D20">
            <v>1458.7599999999998</v>
          </cell>
          <cell r="E20">
            <v>4042.8899999999994</v>
          </cell>
          <cell r="F20">
            <v>4716.92</v>
          </cell>
          <cell r="G20">
            <v>3742.2300000000005</v>
          </cell>
        </row>
        <row r="21">
          <cell r="C21">
            <v>3504.34</v>
          </cell>
          <cell r="D21">
            <v>1471.1399999999999</v>
          </cell>
          <cell r="E21">
            <v>4102.1400000000003</v>
          </cell>
          <cell r="F21">
            <v>4922.8200000000015</v>
          </cell>
          <cell r="G21">
            <v>3637.33</v>
          </cell>
        </row>
        <row r="22">
          <cell r="C22">
            <v>3511.4100000000003</v>
          </cell>
          <cell r="D22">
            <v>1471.4999999999998</v>
          </cell>
          <cell r="E22">
            <v>4100.3100000000004</v>
          </cell>
          <cell r="F22">
            <v>4991.619999999999</v>
          </cell>
          <cell r="G22">
            <v>3652.9800000000005</v>
          </cell>
        </row>
        <row r="23">
          <cell r="C23">
            <v>3482.6200000000003</v>
          </cell>
          <cell r="D23">
            <v>1507.4999999999995</v>
          </cell>
          <cell r="E23">
            <v>4098.5599999999995</v>
          </cell>
          <cell r="F23">
            <v>5051.2299999999996</v>
          </cell>
          <cell r="G23">
            <v>3847.9800000000005</v>
          </cell>
        </row>
        <row r="24">
          <cell r="C24">
            <v>3355.2</v>
          </cell>
          <cell r="D24">
            <v>4553.2299999999996</v>
          </cell>
          <cell r="E24">
            <v>4096.87</v>
          </cell>
          <cell r="F24">
            <v>5114.6900000000005</v>
          </cell>
          <cell r="G24">
            <v>4019.33</v>
          </cell>
        </row>
        <row r="25">
          <cell r="C25">
            <v>3296.1099999999997</v>
          </cell>
          <cell r="D25">
            <v>6377.46</v>
          </cell>
          <cell r="E25">
            <v>4232.78</v>
          </cell>
          <cell r="F25">
            <v>5228.0299999999988</v>
          </cell>
          <cell r="G25">
            <v>4018.8400000000006</v>
          </cell>
        </row>
        <row r="26">
          <cell r="C26">
            <v>3296.1099999999997</v>
          </cell>
          <cell r="D26">
            <v>6377.46</v>
          </cell>
          <cell r="E26">
            <v>4232.78</v>
          </cell>
          <cell r="F26">
            <v>5228.0299999999988</v>
          </cell>
          <cell r="G26">
            <v>4018.8400000000006</v>
          </cell>
        </row>
        <row r="27">
          <cell r="C27">
            <v>3296.1099999999997</v>
          </cell>
          <cell r="D27">
            <v>6377.46</v>
          </cell>
          <cell r="E27">
            <v>4232.78</v>
          </cell>
          <cell r="F27">
            <v>5228.0299999999988</v>
          </cell>
          <cell r="G27">
            <v>4018.8400000000006</v>
          </cell>
        </row>
        <row r="28">
          <cell r="C28">
            <v>3296.1099999999997</v>
          </cell>
          <cell r="D28">
            <v>6377.46</v>
          </cell>
          <cell r="E28">
            <v>4232.78</v>
          </cell>
          <cell r="F28">
            <v>5228.0299999999988</v>
          </cell>
          <cell r="G28">
            <v>4018.8400000000006</v>
          </cell>
        </row>
        <row r="29">
          <cell r="C29">
            <v>3296.1099999999997</v>
          </cell>
          <cell r="D29">
            <v>6377.46</v>
          </cell>
          <cell r="E29">
            <v>4232.78</v>
          </cell>
          <cell r="F29">
            <v>5228.0299999999988</v>
          </cell>
          <cell r="G29">
            <v>4018.8400000000006</v>
          </cell>
        </row>
        <row r="30">
          <cell r="C30">
            <v>3296.1099999999997</v>
          </cell>
          <cell r="D30">
            <v>6377.46</v>
          </cell>
          <cell r="E30">
            <v>4232.78</v>
          </cell>
          <cell r="F30">
            <v>5228.0299999999988</v>
          </cell>
          <cell r="G30">
            <v>4018.8400000000006</v>
          </cell>
        </row>
        <row r="31">
          <cell r="C31">
            <v>3296.1099999999997</v>
          </cell>
          <cell r="D31">
            <v>6377.46</v>
          </cell>
          <cell r="E31">
            <v>4232.78</v>
          </cell>
          <cell r="F31">
            <v>5228.0299999999988</v>
          </cell>
          <cell r="G31">
            <v>4018.8400000000006</v>
          </cell>
        </row>
        <row r="32">
          <cell r="C32">
            <v>3296.1099999999997</v>
          </cell>
          <cell r="D32">
            <v>6377.46</v>
          </cell>
          <cell r="E32">
            <v>4232.78</v>
          </cell>
          <cell r="F32">
            <v>5228.0299999999988</v>
          </cell>
          <cell r="G32">
            <v>4018.8400000000006</v>
          </cell>
        </row>
        <row r="36">
          <cell r="C36">
            <v>1436.2400000000002</v>
          </cell>
          <cell r="D36">
            <v>980.32999999999981</v>
          </cell>
          <cell r="E36">
            <v>1564.67</v>
          </cell>
          <cell r="F36">
            <v>2462.65</v>
          </cell>
          <cell r="G36">
            <v>2334.29</v>
          </cell>
        </row>
        <row r="37">
          <cell r="C37">
            <v>1424.69</v>
          </cell>
          <cell r="D37">
            <v>974.41000000000008</v>
          </cell>
          <cell r="E37">
            <v>1659.4</v>
          </cell>
          <cell r="F37">
            <v>2474.9799999999996</v>
          </cell>
          <cell r="G37">
            <v>2391.3399999999997</v>
          </cell>
        </row>
        <row r="38">
          <cell r="C38">
            <v>1588.44</v>
          </cell>
          <cell r="D38">
            <v>985.61999999999989</v>
          </cell>
          <cell r="E38">
            <v>1691.3799999999997</v>
          </cell>
          <cell r="F38">
            <v>2510.37</v>
          </cell>
          <cell r="G38">
            <v>2410.3999999999992</v>
          </cell>
        </row>
        <row r="39">
          <cell r="C39">
            <v>1595.93</v>
          </cell>
          <cell r="D39">
            <v>986.05</v>
          </cell>
          <cell r="E39">
            <v>1724.8200000000002</v>
          </cell>
          <cell r="F39">
            <v>2729.7299999999996</v>
          </cell>
          <cell r="G39">
            <v>2242.4700000000003</v>
          </cell>
        </row>
        <row r="40">
          <cell r="C40">
            <v>1603.47</v>
          </cell>
          <cell r="D40">
            <v>986.42999999999984</v>
          </cell>
          <cell r="E40">
            <v>1768.44</v>
          </cell>
          <cell r="F40">
            <v>2793.1099999999988</v>
          </cell>
          <cell r="G40">
            <v>2244.5700000000011</v>
          </cell>
        </row>
        <row r="41">
          <cell r="C41">
            <v>1617.76</v>
          </cell>
          <cell r="D41">
            <v>1004.1499999999999</v>
          </cell>
          <cell r="E41">
            <v>1797.04</v>
          </cell>
          <cell r="F41">
            <v>2824.7500000000005</v>
          </cell>
          <cell r="G41">
            <v>2262.8500000000013</v>
          </cell>
        </row>
        <row r="42">
          <cell r="C42">
            <v>1847.1000000000001</v>
          </cell>
          <cell r="D42">
            <v>782.71</v>
          </cell>
          <cell r="E42">
            <v>1825.9199999999998</v>
          </cell>
          <cell r="F42">
            <v>2853.63</v>
          </cell>
          <cell r="G42">
            <v>2258.0100000000002</v>
          </cell>
        </row>
        <row r="43">
          <cell r="C43">
            <v>1853.8299999999997</v>
          </cell>
          <cell r="D43">
            <v>783.90999999999985</v>
          </cell>
          <cell r="E43">
            <v>1928.5800000000002</v>
          </cell>
          <cell r="F43">
            <v>2887.849999999999</v>
          </cell>
          <cell r="G43">
            <v>2299.0099999999998</v>
          </cell>
        </row>
        <row r="44">
          <cell r="C44">
            <v>1861.6500000000003</v>
          </cell>
          <cell r="D44">
            <v>787.94999999999993</v>
          </cell>
          <cell r="E44">
            <v>2017.29</v>
          </cell>
          <cell r="F44">
            <v>2916.9500000000016</v>
          </cell>
          <cell r="G44">
            <v>2325.0800000000008</v>
          </cell>
        </row>
        <row r="45">
          <cell r="C45">
            <v>1868.5000000000005</v>
          </cell>
          <cell r="D45">
            <v>788.96999999999991</v>
          </cell>
          <cell r="E45">
            <v>2080.44</v>
          </cell>
          <cell r="F45">
            <v>2946.27</v>
          </cell>
          <cell r="G45">
            <v>2364.4599999999996</v>
          </cell>
        </row>
        <row r="46">
          <cell r="C46">
            <v>2043.3700000000001</v>
          </cell>
          <cell r="D46">
            <v>790.1099999999999</v>
          </cell>
          <cell r="E46">
            <v>2143.0200000000004</v>
          </cell>
          <cell r="F46">
            <v>2972.0899999999997</v>
          </cell>
          <cell r="G46">
            <v>2396.3000000000002</v>
          </cell>
        </row>
        <row r="47">
          <cell r="C47">
            <v>2053.1800000000003</v>
          </cell>
          <cell r="D47">
            <v>791.09999999999991</v>
          </cell>
          <cell r="E47">
            <v>2172.27</v>
          </cell>
          <cell r="F47">
            <v>3001.1000000000004</v>
          </cell>
          <cell r="G47">
            <v>2423.4699999999993</v>
          </cell>
        </row>
        <row r="48">
          <cell r="C48">
            <v>2060.34</v>
          </cell>
          <cell r="D48">
            <v>806.05</v>
          </cell>
          <cell r="E48">
            <v>2242.8199999999997</v>
          </cell>
          <cell r="F48">
            <v>3229.7200000000007</v>
          </cell>
          <cell r="G48">
            <v>2263.1600000000008</v>
          </cell>
        </row>
        <row r="49">
          <cell r="C49">
            <v>2064.8899999999994</v>
          </cell>
          <cell r="D49">
            <v>806.3599999999999</v>
          </cell>
          <cell r="E49">
            <v>2241.71</v>
          </cell>
          <cell r="F49">
            <v>3280.4</v>
          </cell>
          <cell r="G49">
            <v>2268.4500000000003</v>
          </cell>
        </row>
        <row r="50">
          <cell r="C50">
            <v>2069.69</v>
          </cell>
          <cell r="D50">
            <v>806.45999999999992</v>
          </cell>
          <cell r="E50">
            <v>2240.5</v>
          </cell>
          <cell r="F50">
            <v>3321.0500000000011</v>
          </cell>
          <cell r="G50">
            <v>2284.1100000000006</v>
          </cell>
        </row>
        <row r="51">
          <cell r="C51">
            <v>2028.17</v>
          </cell>
          <cell r="D51">
            <v>852.98</v>
          </cell>
          <cell r="E51">
            <v>2239.29</v>
          </cell>
          <cell r="F51">
            <v>3360.7400000000007</v>
          </cell>
          <cell r="G51">
            <v>2414.0699999999997</v>
          </cell>
        </row>
        <row r="52">
          <cell r="C52">
            <v>1901.5</v>
          </cell>
          <cell r="D52">
            <v>3059.7000000000007</v>
          </cell>
          <cell r="E52">
            <v>2237.8100000000004</v>
          </cell>
          <cell r="F52">
            <v>3405.7799999999984</v>
          </cell>
          <cell r="G52">
            <v>2434.4499999999998</v>
          </cell>
        </row>
        <row r="53">
          <cell r="C53">
            <v>1922</v>
          </cell>
          <cell r="D53">
            <v>3086.0699999999997</v>
          </cell>
          <cell r="E53">
            <v>2326.58</v>
          </cell>
          <cell r="F53">
            <v>3495.27</v>
          </cell>
          <cell r="G53">
            <v>2414.2000000000007</v>
          </cell>
        </row>
        <row r="54">
          <cell r="C54">
            <v>1922</v>
          </cell>
          <cell r="D54">
            <v>3086.0699999999997</v>
          </cell>
          <cell r="E54">
            <v>2326.58</v>
          </cell>
          <cell r="F54">
            <v>3495.27</v>
          </cell>
          <cell r="G54">
            <v>2414.2000000000007</v>
          </cell>
        </row>
        <row r="55">
          <cell r="C55">
            <v>1922</v>
          </cell>
          <cell r="D55">
            <v>3086.0699999999997</v>
          </cell>
          <cell r="E55">
            <v>2326.58</v>
          </cell>
          <cell r="F55">
            <v>3495.27</v>
          </cell>
          <cell r="G55">
            <v>2414.2000000000007</v>
          </cell>
        </row>
        <row r="56">
          <cell r="C56">
            <v>1922</v>
          </cell>
          <cell r="D56">
            <v>3086.0699999999997</v>
          </cell>
          <cell r="E56">
            <v>2326.58</v>
          </cell>
          <cell r="F56">
            <v>3495.27</v>
          </cell>
          <cell r="G56">
            <v>2414.2000000000007</v>
          </cell>
        </row>
        <row r="57">
          <cell r="C57">
            <v>1922</v>
          </cell>
          <cell r="D57">
            <v>3086.0699999999997</v>
          </cell>
          <cell r="E57">
            <v>2326.58</v>
          </cell>
          <cell r="F57">
            <v>3495.27</v>
          </cell>
          <cell r="G57">
            <v>2414.2000000000007</v>
          </cell>
        </row>
        <row r="58">
          <cell r="C58">
            <v>1922</v>
          </cell>
          <cell r="D58">
            <v>3086.0699999999997</v>
          </cell>
          <cell r="E58">
            <v>2326.58</v>
          </cell>
          <cell r="F58">
            <v>3495.27</v>
          </cell>
          <cell r="G58">
            <v>2414.2000000000007</v>
          </cell>
        </row>
        <row r="59">
          <cell r="C59">
            <v>1922</v>
          </cell>
          <cell r="D59">
            <v>3086.0699999999997</v>
          </cell>
          <cell r="E59">
            <v>2326.58</v>
          </cell>
          <cell r="F59">
            <v>3495.27</v>
          </cell>
          <cell r="G59">
            <v>2414.2000000000007</v>
          </cell>
        </row>
        <row r="60">
          <cell r="C60">
            <v>1922</v>
          </cell>
          <cell r="D60">
            <v>3086.0699999999997</v>
          </cell>
          <cell r="E60">
            <v>2326.58</v>
          </cell>
          <cell r="F60">
            <v>3495.27</v>
          </cell>
          <cell r="G60">
            <v>2414.2000000000007</v>
          </cell>
        </row>
      </sheetData>
      <sheetData sheetId="9">
        <row r="10">
          <cell r="B10">
            <v>455716.80000000208</v>
          </cell>
        </row>
        <row r="11">
          <cell r="B11">
            <v>153014.39999999999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 Inflow"/>
      <sheetName val="DS Demand"/>
    </sheetNames>
    <sheetDataSet>
      <sheetData sheetId="0">
        <row r="7">
          <cell r="B7">
            <v>609564.93442340614</v>
          </cell>
          <cell r="C7">
            <v>473796.65378202504</v>
          </cell>
          <cell r="D7">
            <v>959677.81091231725</v>
          </cell>
          <cell r="E7">
            <v>143877.08576906571</v>
          </cell>
          <cell r="F7">
            <v>0</v>
          </cell>
          <cell r="K7">
            <v>161158.62698507422</v>
          </cell>
          <cell r="L7">
            <v>161158.62698507422</v>
          </cell>
          <cell r="M7">
            <v>151953.371587687</v>
          </cell>
          <cell r="N7">
            <v>16964.143312914923</v>
          </cell>
          <cell r="O7">
            <v>0</v>
          </cell>
        </row>
        <row r="8">
          <cell r="B8">
            <v>597182.87766589143</v>
          </cell>
          <cell r="C8">
            <v>597182.87766589143</v>
          </cell>
          <cell r="D8">
            <v>769181.60095861426</v>
          </cell>
          <cell r="E8">
            <v>142883.6887377341</v>
          </cell>
          <cell r="F8">
            <v>0</v>
          </cell>
          <cell r="K8">
            <v>109510.47474275432</v>
          </cell>
          <cell r="L8">
            <v>109510.47474275432</v>
          </cell>
          <cell r="M8">
            <v>166709.32070928102</v>
          </cell>
          <cell r="N8">
            <v>25021.335900014772</v>
          </cell>
          <cell r="O8">
            <v>0</v>
          </cell>
        </row>
        <row r="9">
          <cell r="B9">
            <v>534997.42080974265</v>
          </cell>
          <cell r="C9">
            <v>534997.42080974265</v>
          </cell>
          <cell r="D9">
            <v>750713.84807331243</v>
          </cell>
          <cell r="E9">
            <v>92572.614694462667</v>
          </cell>
          <cell r="F9">
            <v>0</v>
          </cell>
          <cell r="K9">
            <v>124324.62590432839</v>
          </cell>
          <cell r="L9">
            <v>124324.62590432839</v>
          </cell>
          <cell r="M9">
            <v>140981.2740885563</v>
          </cell>
          <cell r="N9">
            <v>5825.1206095422167</v>
          </cell>
          <cell r="O9">
            <v>0</v>
          </cell>
        </row>
        <row r="10">
          <cell r="B10">
            <v>461239.77233475365</v>
          </cell>
          <cell r="C10">
            <v>461239.77233475365</v>
          </cell>
          <cell r="D10">
            <v>644327.56529808161</v>
          </cell>
          <cell r="E10">
            <v>47679.540316002749</v>
          </cell>
          <cell r="F10">
            <v>0</v>
          </cell>
          <cell r="K10">
            <v>208689.93975331343</v>
          </cell>
          <cell r="L10">
            <v>208689.93975331343</v>
          </cell>
          <cell r="M10">
            <v>143476.13658747898</v>
          </cell>
          <cell r="N10">
            <v>0</v>
          </cell>
          <cell r="O10">
            <v>0</v>
          </cell>
        </row>
        <row r="11">
          <cell r="B11">
            <v>486505.21728751896</v>
          </cell>
          <cell r="C11">
            <v>486505.21728751896</v>
          </cell>
          <cell r="D11">
            <v>721661.34039635584</v>
          </cell>
          <cell r="E11">
            <v>176833.12615478935</v>
          </cell>
          <cell r="F11">
            <v>0</v>
          </cell>
          <cell r="K11">
            <v>130828.86885592283</v>
          </cell>
          <cell r="L11">
            <v>130828.86885592283</v>
          </cell>
          <cell r="M11">
            <v>179245.5446942033</v>
          </cell>
          <cell r="N11">
            <v>64508.065313231426</v>
          </cell>
          <cell r="O11">
            <v>17823.468854226208</v>
          </cell>
        </row>
        <row r="12">
          <cell r="B12">
            <v>492681.29729413282</v>
          </cell>
          <cell r="C12">
            <v>453520.34798691521</v>
          </cell>
          <cell r="D12">
            <v>740522.26346391882</v>
          </cell>
          <cell r="E12">
            <v>307846.29142108595</v>
          </cell>
          <cell r="F12">
            <v>74141.016967575255</v>
          </cell>
          <cell r="K12">
            <v>185427.5112615184</v>
          </cell>
          <cell r="L12">
            <v>185427.5112615184</v>
          </cell>
          <cell r="M12">
            <v>115452.38953207948</v>
          </cell>
          <cell r="N12">
            <v>93596.974530611566</v>
          </cell>
          <cell r="O12">
            <v>68857.137556744507</v>
          </cell>
        </row>
        <row r="13">
          <cell r="B13">
            <v>596996.97831499006</v>
          </cell>
          <cell r="C13">
            <v>552452.3043775796</v>
          </cell>
          <cell r="D13">
            <v>797443.7004670226</v>
          </cell>
          <cell r="E13">
            <v>182866.09787298838</v>
          </cell>
          <cell r="F13">
            <v>0</v>
          </cell>
          <cell r="K13">
            <v>182010.40901446485</v>
          </cell>
          <cell r="L13">
            <v>182010.40901446485</v>
          </cell>
          <cell r="M13">
            <v>172930.49028885877</v>
          </cell>
          <cell r="N13">
            <v>46924.427033932225</v>
          </cell>
          <cell r="O13">
            <v>0</v>
          </cell>
        </row>
        <row r="14">
          <cell r="B14">
            <v>584691.25708201085</v>
          </cell>
          <cell r="C14">
            <v>584691.25708201085</v>
          </cell>
          <cell r="D14">
            <v>618596.83152050327</v>
          </cell>
          <cell r="E14">
            <v>134327.45072020206</v>
          </cell>
          <cell r="F14">
            <v>0</v>
          </cell>
          <cell r="K14">
            <v>328188.42475991161</v>
          </cell>
          <cell r="L14">
            <v>212126.20043013262</v>
          </cell>
          <cell r="M14">
            <v>162938.31072802347</v>
          </cell>
          <cell r="N14">
            <v>37034.985204217635</v>
          </cell>
          <cell r="O14">
            <v>0</v>
          </cell>
        </row>
        <row r="15">
          <cell r="B15">
            <v>649648.82400984736</v>
          </cell>
          <cell r="C15">
            <v>509916.23940033885</v>
          </cell>
          <cell r="D15">
            <v>1187840.3159666942</v>
          </cell>
          <cell r="E15">
            <v>288634.10440510081</v>
          </cell>
          <cell r="F15">
            <v>29857.65331791027</v>
          </cell>
          <cell r="K15">
            <v>308497.08366442338</v>
          </cell>
          <cell r="L15">
            <v>235746.1476520673</v>
          </cell>
          <cell r="M15">
            <v>206747.04091449134</v>
          </cell>
          <cell r="N15">
            <v>82626.887395986181</v>
          </cell>
          <cell r="O15">
            <v>67516.34844862578</v>
          </cell>
        </row>
        <row r="16">
          <cell r="B16">
            <v>811901.90079204075</v>
          </cell>
          <cell r="C16">
            <v>520550.81815679173</v>
          </cell>
          <cell r="D16">
            <v>1126882.9479645314</v>
          </cell>
          <cell r="E16">
            <v>166466.40344223179</v>
          </cell>
          <cell r="F16">
            <v>0</v>
          </cell>
          <cell r="K16">
            <v>329913.0523639358</v>
          </cell>
          <cell r="L16">
            <v>213309.80648610872</v>
          </cell>
          <cell r="M16">
            <v>156521.54768228595</v>
          </cell>
          <cell r="N16">
            <v>46120.64495329179</v>
          </cell>
          <cell r="O16">
            <v>0</v>
          </cell>
        </row>
        <row r="17">
          <cell r="B17">
            <v>828974.45706179319</v>
          </cell>
          <cell r="C17">
            <v>523339.11096500326</v>
          </cell>
          <cell r="D17">
            <v>1107731.7681450064</v>
          </cell>
          <cell r="E17">
            <v>203724.82341776087</v>
          </cell>
          <cell r="F17">
            <v>0</v>
          </cell>
          <cell r="K17">
            <v>205393.45675753927</v>
          </cell>
          <cell r="L17">
            <v>190193.08009756173</v>
          </cell>
          <cell r="M17">
            <v>175051.87091645942</v>
          </cell>
          <cell r="N17">
            <v>49477.993573637315</v>
          </cell>
          <cell r="O17">
            <v>13783.174684412357</v>
          </cell>
        </row>
        <row r="18">
          <cell r="B18">
            <v>796778.74420352001</v>
          </cell>
          <cell r="C18">
            <v>500999.78120526834</v>
          </cell>
          <cell r="D18">
            <v>1158181.2487833535</v>
          </cell>
          <cell r="E18">
            <v>240184.18256030363</v>
          </cell>
          <cell r="F18">
            <v>0</v>
          </cell>
          <cell r="K18">
            <v>324726.77389892004</v>
          </cell>
          <cell r="L18">
            <v>207378.44956085921</v>
          </cell>
          <cell r="M18">
            <v>181963.23794138688</v>
          </cell>
          <cell r="N18">
            <v>81491.101049854013</v>
          </cell>
          <cell r="O18">
            <v>44436.018076625936</v>
          </cell>
        </row>
        <row r="19">
          <cell r="B19">
            <v>716052.25664331228</v>
          </cell>
          <cell r="C19">
            <v>503338.90234579641</v>
          </cell>
          <cell r="D19">
            <v>1072600.9365590422</v>
          </cell>
          <cell r="E19">
            <v>69006.990347716186</v>
          </cell>
          <cell r="F19">
            <v>0</v>
          </cell>
          <cell r="K19">
            <v>186519.30881884528</v>
          </cell>
          <cell r="L19">
            <v>186519.30881884528</v>
          </cell>
          <cell r="M19">
            <v>168387.83334214578</v>
          </cell>
          <cell r="N19">
            <v>2524.8078476561882</v>
          </cell>
          <cell r="O19">
            <v>0</v>
          </cell>
        </row>
        <row r="20">
          <cell r="B20">
            <v>596674.92204984766</v>
          </cell>
          <cell r="C20">
            <v>596674.92204984766</v>
          </cell>
          <cell r="D20">
            <v>757841.92182678031</v>
          </cell>
          <cell r="E20">
            <v>161796.13259591514</v>
          </cell>
          <cell r="F20">
            <v>0</v>
          </cell>
          <cell r="K20">
            <v>201790.36267191055</v>
          </cell>
          <cell r="L20">
            <v>201790.36267191055</v>
          </cell>
          <cell r="M20">
            <v>190813.894747774</v>
          </cell>
          <cell r="N20">
            <v>41513.383853732688</v>
          </cell>
          <cell r="O20">
            <v>0</v>
          </cell>
        </row>
        <row r="21">
          <cell r="B21">
            <v>570221.7129424857</v>
          </cell>
          <cell r="C21">
            <v>570221.7129424857</v>
          </cell>
          <cell r="D21">
            <v>624842.56168505596</v>
          </cell>
          <cell r="E21">
            <v>28259.730877180991</v>
          </cell>
          <cell r="F21">
            <v>0</v>
          </cell>
          <cell r="K21">
            <v>96375.555492651372</v>
          </cell>
          <cell r="L21">
            <v>96375.555492651372</v>
          </cell>
          <cell r="M21">
            <v>125217.55146509816</v>
          </cell>
          <cell r="N21">
            <v>0</v>
          </cell>
          <cell r="O21">
            <v>0</v>
          </cell>
        </row>
        <row r="22">
          <cell r="B22">
            <v>408655.85350272967</v>
          </cell>
          <cell r="C22">
            <v>408655.85350272967</v>
          </cell>
          <cell r="D22">
            <v>512366.41298158944</v>
          </cell>
          <cell r="E22">
            <v>50973.761176431108</v>
          </cell>
          <cell r="F22">
            <v>0</v>
          </cell>
          <cell r="K22">
            <v>101145.31789258283</v>
          </cell>
          <cell r="L22">
            <v>101145.31789258283</v>
          </cell>
          <cell r="M22">
            <v>180888.96399715514</v>
          </cell>
          <cell r="N22">
            <v>3635.2663112416367</v>
          </cell>
          <cell r="O22">
            <v>0</v>
          </cell>
        </row>
        <row r="23">
          <cell r="B23">
            <v>392994.79973970959</v>
          </cell>
          <cell r="C23">
            <v>392994.79973970959</v>
          </cell>
          <cell r="D23">
            <v>495466.08812912577</v>
          </cell>
          <cell r="E23">
            <v>67384.119245349284</v>
          </cell>
          <cell r="F23">
            <v>0</v>
          </cell>
          <cell r="K23">
            <v>93728.557408825713</v>
          </cell>
          <cell r="L23">
            <v>93728.557408825713</v>
          </cell>
          <cell r="M23">
            <v>194550.14151261409</v>
          </cell>
          <cell r="N23">
            <v>16483.726958146628</v>
          </cell>
          <cell r="O23">
            <v>0</v>
          </cell>
        </row>
        <row r="24">
          <cell r="B24">
            <v>410295.02987484256</v>
          </cell>
          <cell r="C24">
            <v>410295.02987484256</v>
          </cell>
          <cell r="D24">
            <v>395416.42228144238</v>
          </cell>
          <cell r="E24">
            <v>109080.07598243801</v>
          </cell>
          <cell r="F24">
            <v>0</v>
          </cell>
          <cell r="K24">
            <v>138141.0349915124</v>
          </cell>
          <cell r="L24">
            <v>138141.0349915124</v>
          </cell>
          <cell r="M24">
            <v>215195.55023483798</v>
          </cell>
          <cell r="N24">
            <v>37519.819312809552</v>
          </cell>
          <cell r="O24">
            <v>0</v>
          </cell>
        </row>
        <row r="25">
          <cell r="B25">
            <v>427765.97899216396</v>
          </cell>
          <cell r="C25">
            <v>427765.97899216396</v>
          </cell>
          <cell r="D25">
            <v>433348.78031302162</v>
          </cell>
          <cell r="E25">
            <v>96100.40495511725</v>
          </cell>
          <cell r="F25">
            <v>0</v>
          </cell>
          <cell r="K25">
            <v>109991.98491973178</v>
          </cell>
          <cell r="L25">
            <v>109991.98491973178</v>
          </cell>
          <cell r="M25">
            <v>265597.68859946012</v>
          </cell>
          <cell r="N25">
            <v>15473.003435566125</v>
          </cell>
          <cell r="O25">
            <v>0</v>
          </cell>
        </row>
        <row r="26">
          <cell r="B26">
            <v>371247.18421594071</v>
          </cell>
          <cell r="C26">
            <v>371247.18421594071</v>
          </cell>
          <cell r="D26">
            <v>419225.06606125331</v>
          </cell>
          <cell r="E26">
            <v>181636.84542321839</v>
          </cell>
          <cell r="F26">
            <v>0</v>
          </cell>
          <cell r="K26">
            <v>99638.013937391981</v>
          </cell>
          <cell r="L26">
            <v>99638.013937391981</v>
          </cell>
          <cell r="M26">
            <v>252477.22699443286</v>
          </cell>
          <cell r="N26">
            <v>55905.735373935895</v>
          </cell>
          <cell r="O26">
            <v>27364.424921149421</v>
          </cell>
        </row>
        <row r="27">
          <cell r="B27">
            <v>445143.31738881662</v>
          </cell>
          <cell r="C27">
            <v>445143.31738881662</v>
          </cell>
          <cell r="D27">
            <v>404325.73141286772</v>
          </cell>
          <cell r="E27">
            <v>170910.78933165871</v>
          </cell>
          <cell r="F27">
            <v>0</v>
          </cell>
          <cell r="K27">
            <v>161206.32022151063</v>
          </cell>
          <cell r="L27">
            <v>161206.32022151063</v>
          </cell>
          <cell r="M27">
            <v>205340.1577509504</v>
          </cell>
          <cell r="N27">
            <v>37035.483792502288</v>
          </cell>
          <cell r="O27">
            <v>0</v>
          </cell>
        </row>
        <row r="28">
          <cell r="B28">
            <v>471465.00926731463</v>
          </cell>
          <cell r="C28">
            <v>471465.00926731463</v>
          </cell>
          <cell r="D28">
            <v>482747.312364457</v>
          </cell>
          <cell r="E28">
            <v>195159.37325119268</v>
          </cell>
          <cell r="F28">
            <v>0</v>
          </cell>
          <cell r="K28">
            <v>193099.59551017481</v>
          </cell>
          <cell r="L28">
            <v>173257.24179887524</v>
          </cell>
          <cell r="M28">
            <v>256123.69538923155</v>
          </cell>
          <cell r="N28">
            <v>63873.563519850686</v>
          </cell>
          <cell r="O28">
            <v>7479.9860607967212</v>
          </cell>
        </row>
        <row r="29">
          <cell r="B29">
            <v>533958.43759086379</v>
          </cell>
          <cell r="C29">
            <v>442904.14551213104</v>
          </cell>
          <cell r="D29">
            <v>751533.5652331668</v>
          </cell>
          <cell r="E29">
            <v>261144.00512652702</v>
          </cell>
          <cell r="F29">
            <v>0</v>
          </cell>
          <cell r="K29">
            <v>324291.58147051866</v>
          </cell>
          <cell r="L29">
            <v>206732.7362090603</v>
          </cell>
          <cell r="M29">
            <v>243772.72985464599</v>
          </cell>
          <cell r="N29">
            <v>86594.336298527764</v>
          </cell>
          <cell r="O29">
            <v>48949.601212057874</v>
          </cell>
        </row>
        <row r="30">
          <cell r="B30">
            <v>890099.49817794689</v>
          </cell>
          <cell r="C30">
            <v>721143.68518896692</v>
          </cell>
          <cell r="D30">
            <v>1108330.6801825147</v>
          </cell>
          <cell r="E30">
            <v>231275.50452897977</v>
          </cell>
          <cell r="F30">
            <v>0</v>
          </cell>
          <cell r="K30">
            <v>327749.61351502361</v>
          </cell>
          <cell r="L30">
            <v>200391.69932669785</v>
          </cell>
          <cell r="M30">
            <v>236643.90585292692</v>
          </cell>
          <cell r="N30">
            <v>73527.418910101856</v>
          </cell>
          <cell r="O30">
            <v>40765.218536588916</v>
          </cell>
        </row>
        <row r="31">
          <cell r="B31">
            <v>812019.28488380986</v>
          </cell>
          <cell r="C31">
            <v>558418.37034682976</v>
          </cell>
          <cell r="D31">
            <v>1072213.7802816497</v>
          </cell>
          <cell r="E31">
            <v>101205.16818694584</v>
          </cell>
          <cell r="F31">
            <v>0</v>
          </cell>
          <cell r="K31">
            <v>120701.10031937556</v>
          </cell>
          <cell r="L31">
            <v>120701.10031937556</v>
          </cell>
          <cell r="M31">
            <v>0</v>
          </cell>
          <cell r="N31">
            <v>0</v>
          </cell>
          <cell r="O31">
            <v>0</v>
          </cell>
        </row>
      </sheetData>
      <sheetData sheetId="1">
        <row r="7">
          <cell r="B7">
            <v>673375.29534516716</v>
          </cell>
          <cell r="D7">
            <v>185047.23584990305</v>
          </cell>
          <cell r="F7">
            <v>889459.93738000514</v>
          </cell>
          <cell r="G7">
            <v>144243.79202533787</v>
          </cell>
          <cell r="H7">
            <v>83029.484921651834</v>
          </cell>
          <cell r="I7">
            <v>273037.46509094117</v>
          </cell>
          <cell r="M7">
            <v>618297.95550249401</v>
          </cell>
          <cell r="O7">
            <v>195404.14474950073</v>
          </cell>
          <cell r="Q7">
            <v>151041.46127508045</v>
          </cell>
          <cell r="R7">
            <v>25148.539355120582</v>
          </cell>
          <cell r="S7">
            <v>25732.575928234193</v>
          </cell>
          <cell r="T7">
            <v>188802.58380486892</v>
          </cell>
        </row>
        <row r="8">
          <cell r="B8">
            <v>658698.2409544118</v>
          </cell>
          <cell r="D8">
            <v>157977.82021666356</v>
          </cell>
          <cell r="F8">
            <v>633181.95667159953</v>
          </cell>
          <cell r="G8">
            <v>151673.07580188871</v>
          </cell>
          <cell r="H8">
            <v>51460.592505534456</v>
          </cell>
          <cell r="I8">
            <v>296266.25581134058</v>
          </cell>
          <cell r="M8">
            <v>658575.3700985387</v>
          </cell>
          <cell r="O8">
            <v>221358.53344483522</v>
          </cell>
          <cell r="Q8">
            <v>165712.31765908012</v>
          </cell>
          <cell r="R8">
            <v>68038.679816677584</v>
          </cell>
          <cell r="S8">
            <v>40339.374992938392</v>
          </cell>
          <cell r="T8">
            <v>226024.79249080049</v>
          </cell>
        </row>
        <row r="9">
          <cell r="B9">
            <v>612051.5094037595</v>
          </cell>
          <cell r="D9">
            <v>149571.21868131994</v>
          </cell>
          <cell r="F9">
            <v>630721.76988874841</v>
          </cell>
          <cell r="G9">
            <v>107692.81382481958</v>
          </cell>
          <cell r="H9">
            <v>55649.836815672898</v>
          </cell>
          <cell r="I9">
            <v>343811.01485422411</v>
          </cell>
          <cell r="M9">
            <v>680225.03871610097</v>
          </cell>
          <cell r="O9">
            <v>287489.58461798949</v>
          </cell>
          <cell r="Q9">
            <v>140027.55817072958</v>
          </cell>
          <cell r="R9">
            <v>56805.319552366112</v>
          </cell>
          <cell r="S9">
            <v>78307.666200898908</v>
          </cell>
          <cell r="T9">
            <v>283426.65526954859</v>
          </cell>
        </row>
        <row r="10">
          <cell r="B10">
            <v>515576.95890304184</v>
          </cell>
          <cell r="D10">
            <v>154684.52986822627</v>
          </cell>
          <cell r="F10">
            <v>539191.52055880218</v>
          </cell>
          <cell r="G10">
            <v>49230.894877023296</v>
          </cell>
          <cell r="H10">
            <v>65758.3395677878</v>
          </cell>
          <cell r="I10">
            <v>279735.85942504596</v>
          </cell>
          <cell r="M10">
            <v>688241.89897224156</v>
          </cell>
          <cell r="O10">
            <v>111647.93489198486</v>
          </cell>
          <cell r="Q10">
            <v>142662.20356750966</v>
          </cell>
          <cell r="R10">
            <v>20641.707446737375</v>
          </cell>
          <cell r="S10">
            <v>71923.236163684982</v>
          </cell>
          <cell r="T10">
            <v>280764.80792513071</v>
          </cell>
        </row>
        <row r="11">
          <cell r="B11">
            <v>540965.22690350469</v>
          </cell>
          <cell r="D11">
            <v>164177.15552851293</v>
          </cell>
          <cell r="F11">
            <v>584661.1616189091</v>
          </cell>
          <cell r="G11">
            <v>184262.74833510618</v>
          </cell>
          <cell r="H11">
            <v>67476.593627512149</v>
          </cell>
          <cell r="I11">
            <v>373607.99486696516</v>
          </cell>
          <cell r="M11">
            <v>363989.77957041503</v>
          </cell>
          <cell r="O11">
            <v>116439.10824375326</v>
          </cell>
          <cell r="Q11">
            <v>178569.44345135041</v>
          </cell>
          <cell r="R11">
            <v>69389.29873426228</v>
          </cell>
          <cell r="S11">
            <v>58623.669673396718</v>
          </cell>
          <cell r="T11">
            <v>192556.69813823918</v>
          </cell>
        </row>
        <row r="12">
          <cell r="B12">
            <v>563139.91476173571</v>
          </cell>
          <cell r="D12">
            <v>137358.6547204057</v>
          </cell>
          <cell r="F12">
            <v>637407.70510532113</v>
          </cell>
          <cell r="G12">
            <v>319759.58876584552</v>
          </cell>
          <cell r="H12">
            <v>95360.861825001339</v>
          </cell>
          <cell r="I12">
            <v>401791.48025608354</v>
          </cell>
          <cell r="M12">
            <v>171404.3834654644</v>
          </cell>
          <cell r="O12">
            <v>24071.985498888356</v>
          </cell>
          <cell r="Q12">
            <v>134992.98511685332</v>
          </cell>
          <cell r="R12">
            <v>113625.426075642</v>
          </cell>
          <cell r="S12">
            <v>99524.954364203964</v>
          </cell>
          <cell r="T12">
            <v>74011.110476928356</v>
          </cell>
        </row>
        <row r="13">
          <cell r="B13">
            <v>650579.0829858206</v>
          </cell>
          <cell r="D13">
            <v>151078.9975951942</v>
          </cell>
          <cell r="F13">
            <v>737113.23355488107</v>
          </cell>
          <cell r="G13">
            <v>200575.34739803782</v>
          </cell>
          <cell r="H13">
            <v>94296.160234025607</v>
          </cell>
          <cell r="I13">
            <v>300093.34608450416</v>
          </cell>
          <cell r="M13">
            <v>637936.82951232686</v>
          </cell>
          <cell r="O13">
            <v>137944.32072003311</v>
          </cell>
          <cell r="Q13">
            <v>172207.62847711003</v>
          </cell>
          <cell r="R13">
            <v>59491.589137595482</v>
          </cell>
          <cell r="S13">
            <v>35353.111164494374</v>
          </cell>
          <cell r="T13">
            <v>119093.88392828265</v>
          </cell>
        </row>
        <row r="14">
          <cell r="B14">
            <v>657337.31479130266</v>
          </cell>
          <cell r="D14">
            <v>144654.59182012413</v>
          </cell>
          <cell r="F14">
            <v>509251.82213283237</v>
          </cell>
          <cell r="G14">
            <v>147308.96309483331</v>
          </cell>
          <cell r="H14">
            <v>76090.449111730239</v>
          </cell>
          <cell r="I14">
            <v>249093.43533388432</v>
          </cell>
          <cell r="M14">
            <v>423071.26695958711</v>
          </cell>
          <cell r="O14">
            <v>22358.843906774491</v>
          </cell>
          <cell r="Q14">
            <v>162491.05090660931</v>
          </cell>
          <cell r="R14">
            <v>40697.813568956975</v>
          </cell>
          <cell r="S14">
            <v>24642.467709153443</v>
          </cell>
          <cell r="T14">
            <v>143440.22155994698</v>
          </cell>
        </row>
        <row r="15">
          <cell r="B15">
            <v>762064.93714344432</v>
          </cell>
          <cell r="D15">
            <v>191365.90911997235</v>
          </cell>
          <cell r="F15">
            <v>961528.43072555214</v>
          </cell>
          <cell r="G15">
            <v>311476.83025290089</v>
          </cell>
          <cell r="H15">
            <v>50480.369287406997</v>
          </cell>
          <cell r="I15">
            <v>284249.12521663558</v>
          </cell>
          <cell r="M15">
            <v>591650.68317223154</v>
          </cell>
          <cell r="O15">
            <v>79612.248485483928</v>
          </cell>
          <cell r="Q15">
            <v>206166.1192073799</v>
          </cell>
          <cell r="R15">
            <v>106675.21296552895</v>
          </cell>
          <cell r="S15">
            <v>74007.189812021985</v>
          </cell>
          <cell r="T15">
            <v>122387.83564366553</v>
          </cell>
        </row>
        <row r="16">
          <cell r="B16">
            <v>895872.32001540146</v>
          </cell>
          <cell r="D16">
            <v>194767.26568617829</v>
          </cell>
          <cell r="F16">
            <v>965991.9751186982</v>
          </cell>
          <cell r="G16">
            <v>177039.57868429809</v>
          </cell>
          <cell r="H16">
            <v>85919.071488134767</v>
          </cell>
          <cell r="I16">
            <v>238062.71779709897</v>
          </cell>
          <cell r="M16">
            <v>525328.35702184192</v>
          </cell>
          <cell r="O16">
            <v>33354.188725619002</v>
          </cell>
          <cell r="Q16">
            <v>156081.53488227978</v>
          </cell>
          <cell r="R16">
            <v>49483.533721842046</v>
          </cell>
          <cell r="S16">
            <v>17416.485933358643</v>
          </cell>
          <cell r="T16">
            <v>134316.69564993316</v>
          </cell>
        </row>
        <row r="17">
          <cell r="B17">
            <v>917631.2882870126</v>
          </cell>
          <cell r="D17">
            <v>139608.07543608011</v>
          </cell>
          <cell r="F17">
            <v>961046.83645514038</v>
          </cell>
          <cell r="G17">
            <v>218727.18594979096</v>
          </cell>
          <cell r="H17">
            <v>69522.306677520013</v>
          </cell>
          <cell r="I17">
            <v>313869.64661546022</v>
          </cell>
          <cell r="M17">
            <v>584562.74316464725</v>
          </cell>
          <cell r="O17">
            <v>116503.1339307571</v>
          </cell>
          <cell r="Q17">
            <v>174461.21353701098</v>
          </cell>
          <cell r="R17">
            <v>67349.651121338989</v>
          </cell>
          <cell r="S17">
            <v>48999.572781998766</v>
          </cell>
          <cell r="T17">
            <v>266123.7203623809</v>
          </cell>
        </row>
        <row r="18">
          <cell r="B18">
            <v>902919.14570240735</v>
          </cell>
          <cell r="D18">
            <v>182218.70665152883</v>
          </cell>
          <cell r="F18">
            <v>971408.58011198032</v>
          </cell>
          <cell r="G18">
            <v>270254.33042893698</v>
          </cell>
          <cell r="H18">
            <v>57931.229514945735</v>
          </cell>
          <cell r="I18">
            <v>272952.8874561665</v>
          </cell>
          <cell r="M18">
            <v>446814.03120866226</v>
          </cell>
          <cell r="O18">
            <v>24085.456682562242</v>
          </cell>
          <cell r="Q18">
            <v>181281.47988691091</v>
          </cell>
          <cell r="R18">
            <v>89432.713040973002</v>
          </cell>
          <cell r="S18">
            <v>51231.797613249044</v>
          </cell>
          <cell r="T18">
            <v>124455.85159487076</v>
          </cell>
        </row>
        <row r="19">
          <cell r="B19">
            <v>781663.9509828093</v>
          </cell>
          <cell r="D19">
            <v>160051.5108865698</v>
          </cell>
          <cell r="F19">
            <v>1010704.2958349681</v>
          </cell>
          <cell r="G19">
            <v>70239.410994841717</v>
          </cell>
          <cell r="H19">
            <v>41336.965399087341</v>
          </cell>
          <cell r="I19">
            <v>311822.84299490432</v>
          </cell>
          <cell r="M19">
            <v>756084.56439630431</v>
          </cell>
          <cell r="O19">
            <v>152775.99010932032</v>
          </cell>
          <cell r="Q19">
            <v>167422.9841727796</v>
          </cell>
          <cell r="R19">
            <v>51299.221583529004</v>
          </cell>
          <cell r="S19">
            <v>28443.974935085447</v>
          </cell>
          <cell r="T19">
            <v>199251.32552705205</v>
          </cell>
        </row>
        <row r="20">
          <cell r="B20">
            <v>668297.66749544337</v>
          </cell>
          <cell r="D20">
            <v>158843.42590961629</v>
          </cell>
          <cell r="F20">
            <v>670036.99010496109</v>
          </cell>
          <cell r="G20">
            <v>179312.42913506873</v>
          </cell>
          <cell r="H20">
            <v>98485.485753260073</v>
          </cell>
          <cell r="I20">
            <v>270482.86931726348</v>
          </cell>
          <cell r="M20">
            <v>672693.93027168221</v>
          </cell>
          <cell r="O20">
            <v>154664.57722459314</v>
          </cell>
          <cell r="Q20">
            <v>189939.99348256132</v>
          </cell>
          <cell r="R20">
            <v>50379.155993970373</v>
          </cell>
          <cell r="S20">
            <v>28844.595186742634</v>
          </cell>
          <cell r="T20">
            <v>188818.51788372101</v>
          </cell>
        </row>
        <row r="21">
          <cell r="B21">
            <v>634859.41517851723</v>
          </cell>
          <cell r="D21">
            <v>127649.27199873322</v>
          </cell>
          <cell r="F21">
            <v>538594.78622500855</v>
          </cell>
          <cell r="G21">
            <v>46564.453112081515</v>
          </cell>
          <cell r="H21">
            <v>63021.87460377095</v>
          </cell>
          <cell r="I21">
            <v>200399.98448186408</v>
          </cell>
          <cell r="M21">
            <v>855840.05873865844</v>
          </cell>
          <cell r="O21">
            <v>486204.33883971523</v>
          </cell>
          <cell r="Q21">
            <v>124184.34418701995</v>
          </cell>
          <cell r="R21">
            <v>25065.457516237595</v>
          </cell>
          <cell r="S21">
            <v>97459.886018602105</v>
          </cell>
          <cell r="T21">
            <v>597839.69963689672</v>
          </cell>
        </row>
        <row r="22">
          <cell r="B22">
            <v>479333.55360068195</v>
          </cell>
          <cell r="D22">
            <v>135602.25462080038</v>
          </cell>
          <cell r="F22">
            <v>422368.16975728067</v>
          </cell>
          <cell r="G22">
            <v>57320.519033485325</v>
          </cell>
          <cell r="H22">
            <v>66552.360854228245</v>
          </cell>
          <cell r="I22">
            <v>129609.03256783748</v>
          </cell>
          <cell r="M22">
            <v>631764.77892412758</v>
          </cell>
          <cell r="O22">
            <v>192689.91828953975</v>
          </cell>
          <cell r="Q22">
            <v>180081.77598793994</v>
          </cell>
          <cell r="R22">
            <v>52280.411323134191</v>
          </cell>
          <cell r="S22">
            <v>50741.629948257418</v>
          </cell>
          <cell r="T22">
            <v>261675.21038189204</v>
          </cell>
        </row>
        <row r="23">
          <cell r="B23">
            <v>464293.77055492398</v>
          </cell>
          <cell r="D23">
            <v>132954.53745729721</v>
          </cell>
          <cell r="F23">
            <v>382337.04651188524</v>
          </cell>
          <cell r="G23">
            <v>73157.163613255834</v>
          </cell>
          <cell r="H23">
            <v>58277.848729943522</v>
          </cell>
          <cell r="I23">
            <v>116215.02415518825</v>
          </cell>
          <cell r="M23">
            <v>562779.46064205491</v>
          </cell>
          <cell r="O23">
            <v>212346.15451910213</v>
          </cell>
          <cell r="Q23">
            <v>193945.16994883455</v>
          </cell>
          <cell r="R23">
            <v>26954.936581834223</v>
          </cell>
          <cell r="S23">
            <v>45251.836848026156</v>
          </cell>
          <cell r="T23">
            <v>192923.66534833692</v>
          </cell>
        </row>
        <row r="24">
          <cell r="B24">
            <v>477287.58790296712</v>
          </cell>
          <cell r="D24">
            <v>103101.2611204319</v>
          </cell>
          <cell r="F24">
            <v>339174.49752514192</v>
          </cell>
          <cell r="G24">
            <v>117815.14287120383</v>
          </cell>
          <cell r="H24">
            <v>81834.53123834102</v>
          </cell>
          <cell r="I24">
            <v>136073.37474678605</v>
          </cell>
          <cell r="M24">
            <v>413976.91353800136</v>
          </cell>
          <cell r="O24">
            <v>111564.49420725854</v>
          </cell>
          <cell r="Q24">
            <v>215068.42500311881</v>
          </cell>
          <cell r="R24">
            <v>40822.688842733347</v>
          </cell>
          <cell r="S24">
            <v>40955.050839215633</v>
          </cell>
          <cell r="T24">
            <v>208423.41227713952</v>
          </cell>
        </row>
        <row r="25">
          <cell r="B25">
            <v>487783.97603305138</v>
          </cell>
          <cell r="D25">
            <v>106258.60159128171</v>
          </cell>
          <cell r="F25">
            <v>350705.44005259819</v>
          </cell>
          <cell r="G25">
            <v>108659.56706083234</v>
          </cell>
          <cell r="H25">
            <v>54428.537740161533</v>
          </cell>
          <cell r="I25">
            <v>155891.45282690538</v>
          </cell>
          <cell r="M25">
            <v>530670.83806278475</v>
          </cell>
          <cell r="O25">
            <v>223011.00939560111</v>
          </cell>
          <cell r="Q25">
            <v>265582.6731773658</v>
          </cell>
          <cell r="R25">
            <v>34068.942006898105</v>
          </cell>
          <cell r="S25">
            <v>44143.854820617846</v>
          </cell>
          <cell r="T25">
            <v>315872.48056412779</v>
          </cell>
        </row>
        <row r="26">
          <cell r="B26">
            <v>426093.28474717931</v>
          </cell>
          <cell r="D26">
            <v>117907.46969924316</v>
          </cell>
          <cell r="F26">
            <v>405845.77578599541</v>
          </cell>
          <cell r="G26">
            <v>212307.66923410638</v>
          </cell>
          <cell r="H26">
            <v>54073.523114556367</v>
          </cell>
          <cell r="I26">
            <v>175562.73989853071</v>
          </cell>
          <cell r="M26">
            <v>225079.6707982411</v>
          </cell>
          <cell r="O26">
            <v>77020.616408767659</v>
          </cell>
          <cell r="Q26">
            <v>252377.27224024665</v>
          </cell>
          <cell r="R26">
            <v>72529.555775301022</v>
          </cell>
          <cell r="S26">
            <v>36246.44864231543</v>
          </cell>
          <cell r="T26">
            <v>125334.30342463854</v>
          </cell>
        </row>
        <row r="27">
          <cell r="B27">
            <v>503368.21688569686</v>
          </cell>
          <cell r="D27">
            <v>96132.666083295713</v>
          </cell>
          <cell r="F27">
            <v>367535.29412638675</v>
          </cell>
          <cell r="G27">
            <v>198072.75031115397</v>
          </cell>
          <cell r="H27">
            <v>64501.339275325576</v>
          </cell>
          <cell r="I27">
            <v>183594.43233298894</v>
          </cell>
          <cell r="M27">
            <v>266951.60958510439</v>
          </cell>
          <cell r="O27">
            <v>50649.858986418505</v>
          </cell>
          <cell r="Q27">
            <v>205195.16899972348</v>
          </cell>
          <cell r="R27">
            <v>59828.478035994049</v>
          </cell>
          <cell r="S27">
            <v>29664.977922431062</v>
          </cell>
          <cell r="T27">
            <v>65068.923021570372</v>
          </cell>
        </row>
        <row r="28">
          <cell r="B28">
            <v>547841.95342551265</v>
          </cell>
          <cell r="D28">
            <v>117699.75964324933</v>
          </cell>
          <cell r="F28">
            <v>421430.64805534249</v>
          </cell>
          <cell r="G28">
            <v>233910.82506188491</v>
          </cell>
          <cell r="H28">
            <v>75469.818429513805</v>
          </cell>
          <cell r="I28">
            <v>188376.23613900365</v>
          </cell>
          <cell r="M28">
            <v>188690.76786763888</v>
          </cell>
          <cell r="O28">
            <v>37062.317471432398</v>
          </cell>
          <cell r="Q28">
            <v>256065.71828029997</v>
          </cell>
          <cell r="R28">
            <v>74682.025624817979</v>
          </cell>
          <cell r="S28">
            <v>35436.047527624942</v>
          </cell>
          <cell r="T28">
            <v>149261.64922558767</v>
          </cell>
        </row>
        <row r="29">
          <cell r="B29">
            <v>630982.96479227196</v>
          </cell>
          <cell r="D29">
            <v>138764.88459971751</v>
          </cell>
          <cell r="F29">
            <v>661237.75975409464</v>
          </cell>
          <cell r="G29">
            <v>284677.74140552001</v>
          </cell>
          <cell r="H29">
            <v>69403.497738876307</v>
          </cell>
          <cell r="I29">
            <v>335495.48431379709</v>
          </cell>
          <cell r="M29">
            <v>306378.744831477</v>
          </cell>
          <cell r="O29">
            <v>16464.472239687711</v>
          </cell>
          <cell r="Q29">
            <v>242972.87867844</v>
          </cell>
          <cell r="R29">
            <v>95614.174888079986</v>
          </cell>
          <cell r="S29">
            <v>56930.519974379917</v>
          </cell>
          <cell r="T29">
            <v>58168.598145801778</v>
          </cell>
        </row>
        <row r="30">
          <cell r="B30">
            <v>1090778.3055562784</v>
          </cell>
          <cell r="D30">
            <v>89700.908673280734</v>
          </cell>
          <cell r="F30">
            <v>974976.7458764402</v>
          </cell>
          <cell r="G30">
            <v>245008.01679289708</v>
          </cell>
          <cell r="H30">
            <v>11205.169777516605</v>
          </cell>
          <cell r="I30">
            <v>122184.36615376177</v>
          </cell>
          <cell r="M30">
            <v>574449.44765105285</v>
          </cell>
          <cell r="O30">
            <v>510.15396656695469</v>
          </cell>
          <cell r="Q30">
            <v>242658.61411993994</v>
          </cell>
          <cell r="R30">
            <v>78612.864339813023</v>
          </cell>
          <cell r="S30">
            <v>40765.218536588916</v>
          </cell>
          <cell r="T30">
            <v>75812.623973449692</v>
          </cell>
        </row>
        <row r="31">
          <cell r="B31">
            <v>917222.89621857111</v>
          </cell>
          <cell r="D31">
            <v>128201.97995735554</v>
          </cell>
          <cell r="F31">
            <v>1071356.3279212182</v>
          </cell>
          <cell r="G31">
            <v>109635.31684409012</v>
          </cell>
          <cell r="H31">
            <v>159266.32524667159</v>
          </cell>
          <cell r="I31">
            <v>234626.6945831218</v>
          </cell>
          <cell r="M31">
            <v>183609.3841125961</v>
          </cell>
          <cell r="O31">
            <v>482837.58387913101</v>
          </cell>
          <cell r="Q31">
            <v>238671.34208140013</v>
          </cell>
          <cell r="R31">
            <v>13480.669785668812</v>
          </cell>
          <cell r="S31">
            <v>169812.62644819613</v>
          </cell>
          <cell r="T31">
            <v>49844.664141735535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 GWCU Numbers"/>
      <sheetName val="Instream Flow Demands"/>
      <sheetName val="Instream Applied Lewellen"/>
      <sheetName val="Instream Applied South Platte"/>
      <sheetName val="Instream Applied North Platte"/>
      <sheetName val="Instream Applied Duncan"/>
      <sheetName val="Instream Applied Grand Island"/>
      <sheetName val="Odessa Instream Flow Calc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0</v>
          </cell>
          <cell r="J7">
            <v>0</v>
          </cell>
        </row>
        <row r="8">
          <cell r="B8">
            <v>0</v>
          </cell>
          <cell r="J8">
            <v>0</v>
          </cell>
        </row>
        <row r="9">
          <cell r="B9">
            <v>0</v>
          </cell>
          <cell r="J9">
            <v>0</v>
          </cell>
        </row>
        <row r="10">
          <cell r="B10">
            <v>0</v>
          </cell>
          <cell r="J10">
            <v>0</v>
          </cell>
        </row>
        <row r="11">
          <cell r="B11">
            <v>0</v>
          </cell>
          <cell r="J11">
            <v>24364.868799177086</v>
          </cell>
        </row>
        <row r="12">
          <cell r="B12">
            <v>91776.893516475917</v>
          </cell>
          <cell r="J12">
            <v>99524.954364203964</v>
          </cell>
        </row>
        <row r="13">
          <cell r="B13">
            <v>0</v>
          </cell>
          <cell r="J13">
            <v>0</v>
          </cell>
        </row>
        <row r="14">
          <cell r="B14">
            <v>0</v>
          </cell>
          <cell r="J14">
            <v>0</v>
          </cell>
        </row>
        <row r="15">
          <cell r="B15">
            <v>33225.442894717969</v>
          </cell>
          <cell r="J15">
            <v>74007.189812021985</v>
          </cell>
        </row>
        <row r="16">
          <cell r="B16">
            <v>0</v>
          </cell>
          <cell r="J16">
            <v>0</v>
          </cell>
        </row>
        <row r="17">
          <cell r="B17">
            <v>0</v>
          </cell>
          <cell r="J17">
            <v>17272.797222720023</v>
          </cell>
        </row>
        <row r="18">
          <cell r="B18">
            <v>0</v>
          </cell>
          <cell r="J18">
            <v>51231.797613249044</v>
          </cell>
        </row>
        <row r="19">
          <cell r="B19">
            <v>0</v>
          </cell>
          <cell r="J19">
            <v>0</v>
          </cell>
        </row>
        <row r="20">
          <cell r="B20">
            <v>0</v>
          </cell>
          <cell r="J20">
            <v>0</v>
          </cell>
        </row>
        <row r="21">
          <cell r="B21">
            <v>0</v>
          </cell>
          <cell r="J21">
            <v>0</v>
          </cell>
        </row>
        <row r="22">
          <cell r="B22">
            <v>0</v>
          </cell>
          <cell r="J22">
            <v>0</v>
          </cell>
        </row>
        <row r="23">
          <cell r="B23">
            <v>0</v>
          </cell>
          <cell r="J23">
            <v>0</v>
          </cell>
        </row>
        <row r="24">
          <cell r="B24">
            <v>0</v>
          </cell>
          <cell r="J24">
            <v>0</v>
          </cell>
        </row>
        <row r="25">
          <cell r="B25">
            <v>0</v>
          </cell>
          <cell r="J25">
            <v>0</v>
          </cell>
        </row>
        <row r="26">
          <cell r="B26">
            <v>0</v>
          </cell>
          <cell r="J26">
            <v>35154.586884122953</v>
          </cell>
        </row>
        <row r="27">
          <cell r="B27">
            <v>0</v>
          </cell>
          <cell r="J27">
            <v>0</v>
          </cell>
        </row>
        <row r="28">
          <cell r="B28">
            <v>0</v>
          </cell>
          <cell r="J28">
            <v>9392.7907914060052</v>
          </cell>
        </row>
        <row r="29">
          <cell r="B29">
            <v>0</v>
          </cell>
          <cell r="J29">
            <v>56930.519974379917</v>
          </cell>
        </row>
        <row r="30">
          <cell r="B30">
            <v>0</v>
          </cell>
          <cell r="J30">
            <v>40765.218536588916</v>
          </cell>
        </row>
        <row r="31">
          <cell r="B31">
            <v>0</v>
          </cell>
          <cell r="J31">
            <v>0</v>
          </cell>
        </row>
      </sheetData>
      <sheetData sheetId="6">
        <row r="7">
          <cell r="B7">
            <v>144243.79202533787</v>
          </cell>
          <cell r="K7">
            <v>19451.307955682336</v>
          </cell>
        </row>
        <row r="8">
          <cell r="B8">
            <v>151673.07580188871</v>
          </cell>
          <cell r="K8">
            <v>37638.073928425409</v>
          </cell>
        </row>
        <row r="9">
          <cell r="B9">
            <v>107692.81382481958</v>
          </cell>
          <cell r="K9">
            <v>8773.4010517626011</v>
          </cell>
        </row>
        <row r="10">
          <cell r="B10">
            <v>49230.894877023296</v>
          </cell>
          <cell r="K10">
            <v>0</v>
          </cell>
        </row>
        <row r="11">
          <cell r="B11">
            <v>184262.74833510618</v>
          </cell>
          <cell r="K11">
            <v>69389.29873426228</v>
          </cell>
        </row>
        <row r="12">
          <cell r="B12">
            <v>319759.58876584552</v>
          </cell>
          <cell r="K12">
            <v>113625.426075642</v>
          </cell>
        </row>
        <row r="13">
          <cell r="B13">
            <v>200575.34739803782</v>
          </cell>
          <cell r="K13">
            <v>59491.589137595482</v>
          </cell>
        </row>
        <row r="14">
          <cell r="B14">
            <v>147308.96309483331</v>
          </cell>
          <cell r="K14">
            <v>40697.813568956975</v>
          </cell>
        </row>
        <row r="15">
          <cell r="B15">
            <v>311476.83025290089</v>
          </cell>
          <cell r="K15">
            <v>106675.21296552895</v>
          </cell>
        </row>
        <row r="16">
          <cell r="B16">
            <v>177039.57868429809</v>
          </cell>
          <cell r="K16">
            <v>49483.533721842046</v>
          </cell>
        </row>
        <row r="17">
          <cell r="B17">
            <v>218727.18594979096</v>
          </cell>
          <cell r="K17">
            <v>67349.651121338989</v>
          </cell>
        </row>
        <row r="18">
          <cell r="B18">
            <v>270254.33042893698</v>
          </cell>
          <cell r="K18">
            <v>89432.713040973002</v>
          </cell>
        </row>
        <row r="19">
          <cell r="B19">
            <v>70239.410994841717</v>
          </cell>
          <cell r="K19">
            <v>3287.7475692178705</v>
          </cell>
        </row>
        <row r="20">
          <cell r="B20">
            <v>179312.42913506873</v>
          </cell>
          <cell r="K20">
            <v>50379.155993970373</v>
          </cell>
        </row>
        <row r="21">
          <cell r="B21">
            <v>31666.00269782095</v>
          </cell>
          <cell r="K21">
            <v>0</v>
          </cell>
        </row>
        <row r="22">
          <cell r="B22">
            <v>57320.519033485325</v>
          </cell>
          <cell r="K22">
            <v>5201.3164612062683</v>
          </cell>
        </row>
        <row r="23">
          <cell r="B23">
            <v>73157.163613255834</v>
          </cell>
          <cell r="K23">
            <v>19886.984269029868</v>
          </cell>
        </row>
        <row r="24">
          <cell r="B24">
            <v>117815.14287120383</v>
          </cell>
          <cell r="K24">
            <v>40822.688842733347</v>
          </cell>
        </row>
        <row r="25">
          <cell r="B25">
            <v>108659.56706083234</v>
          </cell>
          <cell r="K25">
            <v>21402.06037449291</v>
          </cell>
        </row>
        <row r="26">
          <cell r="B26">
            <v>212307.66923410638</v>
          </cell>
          <cell r="K26">
            <v>72529.555775301022</v>
          </cell>
        </row>
        <row r="27">
          <cell r="B27">
            <v>198072.75031115397</v>
          </cell>
          <cell r="K27">
            <v>59828.478035994049</v>
          </cell>
        </row>
        <row r="28">
          <cell r="B28">
            <v>233910.82506188491</v>
          </cell>
          <cell r="K28">
            <v>74682.025624817979</v>
          </cell>
        </row>
        <row r="29">
          <cell r="B29">
            <v>284677.74140552001</v>
          </cell>
          <cell r="K29">
            <v>95614.174888079986</v>
          </cell>
        </row>
        <row r="30">
          <cell r="B30">
            <v>245008.01679289708</v>
          </cell>
          <cell r="K30">
            <v>78612.864339813023</v>
          </cell>
        </row>
        <row r="31">
          <cell r="B31">
            <v>109635.31684409012</v>
          </cell>
          <cell r="K31">
            <v>13480.669785668812</v>
          </cell>
        </row>
      </sheetData>
      <sheetData sheetId="7">
        <row r="7">
          <cell r="B7">
            <v>222237.04545801994</v>
          </cell>
          <cell r="L7">
            <v>37941.455048135263</v>
          </cell>
        </row>
        <row r="8">
          <cell r="B8">
            <v>158872.27015026912</v>
          </cell>
          <cell r="L8">
            <v>23005.645451627395</v>
          </cell>
        </row>
        <row r="9">
          <cell r="B9">
            <v>153138.46250864305</v>
          </cell>
          <cell r="L9">
            <v>2397.8086295445537</v>
          </cell>
        </row>
        <row r="10">
          <cell r="B10">
            <v>135263.17577344878</v>
          </cell>
          <cell r="L10">
            <v>32906.150621867113</v>
          </cell>
        </row>
        <row r="11">
          <cell r="B11">
            <v>234685.19727553177</v>
          </cell>
          <cell r="L11">
            <v>80645.11020462001</v>
          </cell>
        </row>
        <row r="12">
          <cell r="B12">
            <v>327285.58937209996</v>
          </cell>
          <cell r="L12">
            <v>115037.52377280616</v>
          </cell>
        </row>
        <row r="13">
          <cell r="B13">
            <v>233977.06468780691</v>
          </cell>
          <cell r="L13">
            <v>64211.833076101306</v>
          </cell>
        </row>
        <row r="14">
          <cell r="B14">
            <v>201975.1988749046</v>
          </cell>
          <cell r="L14">
            <v>67836.380563272018</v>
          </cell>
        </row>
        <row r="15">
          <cell r="B15">
            <v>332800.64920465549</v>
          </cell>
          <cell r="L15">
            <v>115681.14955416379</v>
          </cell>
        </row>
        <row r="16">
          <cell r="B16">
            <v>241885.81026643363</v>
          </cell>
          <cell r="L16">
            <v>77043.392367280539</v>
          </cell>
        </row>
        <row r="17">
          <cell r="B17">
            <v>256899.74641197402</v>
          </cell>
          <cell r="L17">
            <v>79256.454439173365</v>
          </cell>
        </row>
        <row r="18">
          <cell r="B18">
            <v>306914.71319441893</v>
          </cell>
          <cell r="L18">
            <v>105144.30565475098</v>
          </cell>
        </row>
        <row r="19">
          <cell r="B19">
            <v>139749.46481132478</v>
          </cell>
          <cell r="L19">
            <v>32113.417496164417</v>
          </cell>
        </row>
        <row r="20">
          <cell r="B20">
            <v>233933.37939126528</v>
          </cell>
          <cell r="L20">
            <v>64921.376865831087</v>
          </cell>
        </row>
        <row r="21">
          <cell r="B21">
            <v>75297.256877374311</v>
          </cell>
          <cell r="L21">
            <v>16714.313703946129</v>
          </cell>
        </row>
        <row r="22">
          <cell r="B22">
            <v>126110.0159638772</v>
          </cell>
          <cell r="L22">
            <v>13881.366200866716</v>
          </cell>
        </row>
        <row r="23">
          <cell r="B23">
            <v>128603.28248346996</v>
          </cell>
          <cell r="L23">
            <v>30310.336016625239</v>
          </cell>
        </row>
        <row r="24">
          <cell r="B24">
            <v>162569.52868623313</v>
          </cell>
          <cell r="L24">
            <v>55699.772232559859</v>
          </cell>
        </row>
        <row r="25">
          <cell r="B25">
            <v>106225.19533588173</v>
          </cell>
          <cell r="L25">
            <v>21368.160459699604</v>
          </cell>
        </row>
        <row r="26">
          <cell r="B26">
            <v>219204.96104089185</v>
          </cell>
          <cell r="L26">
            <v>85994.571531324589</v>
          </cell>
        </row>
        <row r="27">
          <cell r="B27">
            <v>211045.84386587393</v>
          </cell>
          <cell r="L27">
            <v>80221.936405650515</v>
          </cell>
        </row>
        <row r="28">
          <cell r="B28">
            <v>264345.7758507824</v>
          </cell>
          <cell r="L28">
            <v>88826.203108090514</v>
          </cell>
        </row>
        <row r="29">
          <cell r="B29">
            <v>308402.55068873428</v>
          </cell>
          <cell r="L29">
            <v>111110.81915341198</v>
          </cell>
        </row>
        <row r="30">
          <cell r="B30">
            <v>278359.18214795773</v>
          </cell>
          <cell r="L30">
            <v>93854.931633306041</v>
          </cell>
        </row>
        <row r="31">
          <cell r="B31">
            <v>201624.63070549048</v>
          </cell>
          <cell r="L31">
            <v>23618.816545622947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eBWSproportions"/>
      <sheetName val="BWS_Proportioning Calc_NonIRR"/>
      <sheetName val="BWS_Proportioning Calc_IRR"/>
    </sheetNames>
    <sheetDataSet>
      <sheetData sheetId="0">
        <row r="9">
          <cell r="F9">
            <v>151841.56633590895</v>
          </cell>
          <cell r="G9">
            <v>13804.969091664916</v>
          </cell>
          <cell r="J9">
            <v>0</v>
          </cell>
          <cell r="K9">
            <v>0</v>
          </cell>
        </row>
        <row r="10">
          <cell r="F10">
            <v>229413.08900441698</v>
          </cell>
          <cell r="G10">
            <v>40947.361580386219</v>
          </cell>
          <cell r="J10">
            <v>30880.721431814931</v>
          </cell>
          <cell r="K10">
            <v>0</v>
          </cell>
        </row>
        <row r="11">
          <cell r="F11">
            <v>232468.86033017564</v>
          </cell>
          <cell r="G11">
            <v>41988.221805749046</v>
          </cell>
          <cell r="J11">
            <v>22210.450977935696</v>
          </cell>
          <cell r="K11">
            <v>0</v>
          </cell>
        </row>
        <row r="12">
          <cell r="B12">
            <v>0.28038205900000002</v>
          </cell>
          <cell r="C12">
            <v>0.22284277999999999</v>
          </cell>
          <cell r="F12">
            <v>42265.286640075756</v>
          </cell>
          <cell r="G12">
            <v>0</v>
          </cell>
          <cell r="J12">
            <v>0</v>
          </cell>
          <cell r="K12">
            <v>0</v>
          </cell>
        </row>
        <row r="13">
          <cell r="F13">
            <v>381939.37371513585</v>
          </cell>
          <cell r="G13">
            <v>92201.371546345879</v>
          </cell>
          <cell r="J13">
            <v>133161.70002355688</v>
          </cell>
          <cell r="K13">
            <v>25162.018139485881</v>
          </cell>
        </row>
        <row r="14">
          <cell r="F14">
            <v>418828.80185489124</v>
          </cell>
          <cell r="G14">
            <v>105466.35222045233</v>
          </cell>
          <cell r="J14">
            <v>177101.11073122011</v>
          </cell>
          <cell r="K14">
            <v>40469.085480956346</v>
          </cell>
        </row>
        <row r="15">
          <cell r="F15">
            <v>294941.78948284779</v>
          </cell>
          <cell r="G15">
            <v>63267.820370207184</v>
          </cell>
          <cell r="J15">
            <v>69584.074690317982</v>
          </cell>
          <cell r="K15">
            <v>3896.9549929851805</v>
          </cell>
        </row>
        <row r="16">
          <cell r="F16">
            <v>180860.57095443548</v>
          </cell>
          <cell r="G16">
            <v>24409.348917776475</v>
          </cell>
          <cell r="J16">
            <v>0</v>
          </cell>
          <cell r="K16">
            <v>0</v>
          </cell>
        </row>
        <row r="17">
          <cell r="F17">
            <v>344009.78851630917</v>
          </cell>
          <cell r="G17">
            <v>79281.754078514656</v>
          </cell>
          <cell r="J17">
            <v>128031.74081246226</v>
          </cell>
          <cell r="K17">
            <v>23414.645731232657</v>
          </cell>
        </row>
        <row r="18">
          <cell r="F18">
            <v>194774.809675269</v>
          </cell>
          <cell r="G18">
            <v>29148.832376056296</v>
          </cell>
          <cell r="J18">
            <v>10860.742204431199</v>
          </cell>
          <cell r="K18">
            <v>0</v>
          </cell>
        </row>
        <row r="19">
          <cell r="F19">
            <v>292900.10674197221</v>
          </cell>
          <cell r="G19">
            <v>62572.38012575121</v>
          </cell>
          <cell r="J19">
            <v>74277.768953648978</v>
          </cell>
          <cell r="K19">
            <v>5568.4393362992078</v>
          </cell>
        </row>
        <row r="20">
          <cell r="F20">
            <v>302743.44255850441</v>
          </cell>
          <cell r="G20">
            <v>65925.228112101788</v>
          </cell>
          <cell r="J20">
            <v>89867.261573374504</v>
          </cell>
          <cell r="K20">
            <v>10755.394823439783</v>
          </cell>
        </row>
        <row r="21">
          <cell r="F21">
            <v>76765.914207736365</v>
          </cell>
          <cell r="G21">
            <v>0</v>
          </cell>
          <cell r="J21">
            <v>0</v>
          </cell>
          <cell r="K21">
            <v>0</v>
          </cell>
        </row>
        <row r="22">
          <cell r="F22">
            <v>194798.35919082127</v>
          </cell>
          <cell r="G22">
            <v>29156.853838218169</v>
          </cell>
          <cell r="J22">
            <v>0</v>
          </cell>
          <cell r="K22">
            <v>0</v>
          </cell>
        </row>
        <row r="23">
          <cell r="F23">
            <v>50172.80360992546</v>
          </cell>
          <cell r="G23">
            <v>0</v>
          </cell>
          <cell r="J23">
            <v>0</v>
          </cell>
          <cell r="K23">
            <v>0</v>
          </cell>
        </row>
        <row r="24">
          <cell r="F24">
            <v>97623.388451775143</v>
          </cell>
          <cell r="G24">
            <v>0</v>
          </cell>
          <cell r="J24">
            <v>0</v>
          </cell>
          <cell r="K24">
            <v>0</v>
          </cell>
        </row>
        <row r="25">
          <cell r="F25">
            <v>191701.94353015971</v>
          </cell>
          <cell r="G25">
            <v>27402.486634491674</v>
          </cell>
          <cell r="J25">
            <v>826.77541153488096</v>
          </cell>
          <cell r="K25">
            <v>0</v>
          </cell>
        </row>
        <row r="26">
          <cell r="F26">
            <v>99279.206254206831</v>
          </cell>
          <cell r="G26">
            <v>0</v>
          </cell>
          <cell r="J26">
            <v>0</v>
          </cell>
          <cell r="K26">
            <v>0</v>
          </cell>
        </row>
        <row r="27">
          <cell r="F27">
            <v>146332.57504158924</v>
          </cell>
          <cell r="G27">
            <v>12648.384573283394</v>
          </cell>
          <cell r="J27">
            <v>0</v>
          </cell>
          <cell r="K27">
            <v>0</v>
          </cell>
        </row>
        <row r="28">
          <cell r="F28">
            <v>272310.07524630515</v>
          </cell>
          <cell r="G28">
            <v>55558.980712597498</v>
          </cell>
          <cell r="J28">
            <v>77413.220318060325</v>
          </cell>
          <cell r="K28">
            <v>6546.2265825014947</v>
          </cell>
        </row>
        <row r="29">
          <cell r="F29">
            <v>223731.97131461598</v>
          </cell>
          <cell r="G29">
            <v>38312.590298688367</v>
          </cell>
          <cell r="J29">
            <v>37143.402805913633</v>
          </cell>
          <cell r="K29">
            <v>0</v>
          </cell>
        </row>
        <row r="30">
          <cell r="F30">
            <v>281275.44367616973</v>
          </cell>
          <cell r="G30">
            <v>58612.7744718713</v>
          </cell>
          <cell r="J30">
            <v>78067.985651801733</v>
          </cell>
          <cell r="K30">
            <v>6736.3123445513165</v>
          </cell>
        </row>
        <row r="31">
          <cell r="F31">
            <v>276891.43693207705</v>
          </cell>
          <cell r="G31">
            <v>57119.489222028351</v>
          </cell>
          <cell r="J31">
            <v>73267.695664711733</v>
          </cell>
          <cell r="K31">
            <v>5101.2322337943569</v>
          </cell>
        </row>
        <row r="32">
          <cell r="F32">
            <v>316205.89800320246</v>
          </cell>
          <cell r="G32">
            <v>70510.824648723006</v>
          </cell>
          <cell r="J32">
            <v>95077.848716055276</v>
          </cell>
          <cell r="K32">
            <v>12530.230807365009</v>
          </cell>
        </row>
        <row r="33">
          <cell r="F33">
            <v>0</v>
          </cell>
          <cell r="G33">
            <v>0</v>
          </cell>
          <cell r="J33">
            <v>0</v>
          </cell>
          <cell r="K3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/>
    <pageSetUpPr fitToPage="1"/>
  </sheetPr>
  <dimension ref="A1:T49"/>
  <sheetViews>
    <sheetView showGridLines="0" topLeftCell="C1" zoomScale="70" zoomScaleNormal="70" workbookViewId="0">
      <selection activeCell="O14" sqref="O14"/>
    </sheetView>
  </sheetViews>
  <sheetFormatPr defaultRowHeight="15" x14ac:dyDescent="0.25"/>
  <cols>
    <col min="1" max="1" width="18.140625" customWidth="1"/>
    <col min="2" max="2" width="14.5703125" customWidth="1"/>
    <col min="3" max="3" width="12.85546875" bestFit="1" customWidth="1"/>
    <col min="4" max="4" width="12" style="126" customWidth="1"/>
    <col min="5" max="5" width="20" style="126" bestFit="1" customWidth="1"/>
    <col min="6" max="6" width="20" style="126" customWidth="1"/>
    <col min="7" max="7" width="24.5703125" style="126" customWidth="1"/>
    <col min="8" max="8" width="13.140625" style="126" customWidth="1"/>
    <col min="9" max="11" width="20.42578125" customWidth="1"/>
    <col min="12" max="12" width="20.42578125" style="129" customWidth="1"/>
    <col min="13" max="13" width="20.42578125" style="126" customWidth="1"/>
    <col min="14" max="14" width="10" customWidth="1"/>
    <col min="15" max="15" width="23.7109375" customWidth="1"/>
    <col min="16" max="16" width="19.28515625" customWidth="1"/>
    <col min="17" max="17" width="19.28515625" style="129" customWidth="1"/>
    <col min="18" max="18" width="19.5703125" customWidth="1"/>
    <col min="19" max="19" width="19.5703125" style="129" customWidth="1"/>
  </cols>
  <sheetData>
    <row r="1" spans="1:20" s="161" customFormat="1" x14ac:dyDescent="0.25">
      <c r="A1" s="6" t="s">
        <v>108</v>
      </c>
      <c r="B1" s="162">
        <v>43262</v>
      </c>
    </row>
    <row r="2" spans="1:20" s="161" customFormat="1" x14ac:dyDescent="0.25">
      <c r="A2" s="6" t="s">
        <v>109</v>
      </c>
      <c r="B2" s="6" t="s">
        <v>110</v>
      </c>
    </row>
    <row r="3" spans="1:20" x14ac:dyDescent="0.25">
      <c r="A3" t="s">
        <v>19</v>
      </c>
      <c r="D3"/>
      <c r="E3"/>
      <c r="F3" s="115"/>
      <c r="G3" s="1"/>
      <c r="H3" s="1"/>
    </row>
    <row r="4" spans="1:20" x14ac:dyDescent="0.25">
      <c r="A4" t="s">
        <v>17</v>
      </c>
      <c r="D4"/>
      <c r="E4"/>
      <c r="F4" s="115"/>
      <c r="G4" s="1"/>
      <c r="H4" s="1"/>
    </row>
    <row r="5" spans="1:20" ht="15" customHeight="1" x14ac:dyDescent="0.25">
      <c r="C5" s="13"/>
      <c r="D5" s="13"/>
      <c r="E5" s="13"/>
      <c r="F5" s="115"/>
      <c r="G5" s="131"/>
      <c r="H5" s="141"/>
      <c r="J5" s="135"/>
      <c r="K5" s="135"/>
      <c r="L5" s="135"/>
      <c r="M5" s="135"/>
      <c r="N5" s="133"/>
      <c r="O5" s="6"/>
      <c r="P5" s="6"/>
      <c r="Q5" s="6"/>
      <c r="R5" s="6"/>
      <c r="S5" s="6"/>
    </row>
    <row r="6" spans="1:20" s="12" customFormat="1" ht="45" customHeight="1" x14ac:dyDescent="0.25">
      <c r="A6" s="185" t="s">
        <v>1</v>
      </c>
      <c r="B6" s="163" t="s">
        <v>111</v>
      </c>
      <c r="C6" s="163" t="s">
        <v>11</v>
      </c>
      <c r="D6" s="163" t="s">
        <v>3</v>
      </c>
      <c r="E6" s="163" t="s">
        <v>20</v>
      </c>
      <c r="F6" s="130"/>
      <c r="G6" s="163" t="s">
        <v>56</v>
      </c>
      <c r="H6" s="1"/>
      <c r="I6" s="166" t="s">
        <v>112</v>
      </c>
      <c r="J6" s="166" t="s">
        <v>12</v>
      </c>
      <c r="K6" s="166" t="s">
        <v>83</v>
      </c>
      <c r="L6" s="166" t="s">
        <v>20</v>
      </c>
      <c r="M6" s="166" t="s">
        <v>5</v>
      </c>
      <c r="N6" s="130"/>
      <c r="O6" s="166" t="s">
        <v>6</v>
      </c>
      <c r="P6" s="166" t="s">
        <v>7</v>
      </c>
      <c r="Q6" s="130"/>
      <c r="R6" s="166" t="s">
        <v>36</v>
      </c>
      <c r="S6" s="166" t="s">
        <v>37</v>
      </c>
      <c r="T6" s="131"/>
    </row>
    <row r="7" spans="1:20" s="12" customForma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65"/>
      <c r="G7" s="164" t="s">
        <v>8</v>
      </c>
      <c r="H7" s="1"/>
      <c r="I7" s="164" t="s">
        <v>8</v>
      </c>
      <c r="J7" s="164" t="s">
        <v>8</v>
      </c>
      <c r="K7" s="164" t="s">
        <v>8</v>
      </c>
      <c r="L7" s="164" t="s">
        <v>8</v>
      </c>
      <c r="M7" s="164" t="s">
        <v>8</v>
      </c>
      <c r="N7" s="130"/>
      <c r="O7" s="164" t="s">
        <v>8</v>
      </c>
      <c r="P7" s="164" t="s">
        <v>8</v>
      </c>
      <c r="Q7" s="130"/>
      <c r="R7" s="164" t="s">
        <v>8</v>
      </c>
      <c r="S7" s="164" t="s">
        <v>8</v>
      </c>
      <c r="T7" s="131"/>
    </row>
    <row r="8" spans="1:20" ht="15" customHeight="1" x14ac:dyDescent="0.25">
      <c r="A8" s="38">
        <v>1988</v>
      </c>
      <c r="B8" s="146">
        <f>'[1]Capped Flow'!B7</f>
        <v>678367.8</v>
      </c>
      <c r="C8" s="146">
        <f>'[2]GW Depletions'!B15</f>
        <v>75620.734909058767</v>
      </c>
      <c r="D8" s="149">
        <f>[2]SWCU!B10</f>
        <v>17605.099999999999</v>
      </c>
      <c r="E8" s="146">
        <f>'[2]Reservoir Evap'!B11</f>
        <v>4121.7999999999993</v>
      </c>
      <c r="F8" s="28"/>
      <c r="G8" s="78">
        <f>SUM(B8:E8)</f>
        <v>775715.43490905885</v>
      </c>
      <c r="H8" s="17"/>
      <c r="I8" s="146">
        <f>[2]SWDemand!B14</f>
        <v>29890.445854126181</v>
      </c>
      <c r="J8" s="43">
        <f>MAX([2]GWCU!B12*0.7,C8)</f>
        <v>75620.734909058767</v>
      </c>
      <c r="K8" s="43">
        <f>IF('[3]DS Demand'!B7&gt;0, '[3]DS Demand'!B7,0)</f>
        <v>673375.29534516716</v>
      </c>
      <c r="L8" s="146">
        <f t="shared" ref="L8:L32" si="0">E8</f>
        <v>4121.7999999999993</v>
      </c>
      <c r="M8" s="61">
        <f>'[2]Net SW Loss'!B13</f>
        <v>62452.399999999994</v>
      </c>
      <c r="O8" s="62">
        <f>C8+I8+K8+L8+M8</f>
        <v>845460.67610835214</v>
      </c>
      <c r="P8" s="62">
        <f>J8+I8+K8+L8+M8</f>
        <v>845460.67610835214</v>
      </c>
      <c r="R8" s="62">
        <f>G8-O8</f>
        <v>-69745.24119929329</v>
      </c>
      <c r="S8" s="62">
        <f>G8-P8</f>
        <v>-69745.24119929329</v>
      </c>
      <c r="T8" s="84"/>
    </row>
    <row r="9" spans="1:20" ht="15" customHeight="1" x14ac:dyDescent="0.25">
      <c r="A9" s="38">
        <v>1989</v>
      </c>
      <c r="B9" s="146">
        <f>'[1]Capped Flow'!B8</f>
        <v>641189.34000000008</v>
      </c>
      <c r="C9" s="146">
        <f>'[2]GW Depletions'!B16</f>
        <v>80904.734540358128</v>
      </c>
      <c r="D9" s="149">
        <f>[2]SWCU!B11</f>
        <v>19595.100000000002</v>
      </c>
      <c r="E9" s="146">
        <f>'[2]Reservoir Evap'!B12</f>
        <v>3504.3999999999996</v>
      </c>
      <c r="F9" s="28"/>
      <c r="G9" s="78">
        <f t="shared" ref="G9:G32" si="1">SUM(B9:E9)</f>
        <v>745193.57454035827</v>
      </c>
      <c r="H9" s="17"/>
      <c r="I9" s="146">
        <f>[2]SWDemand!B15</f>
        <v>35812.365501421169</v>
      </c>
      <c r="J9" s="43">
        <f>MAX([2]GWCU!B13*0.7,C9)</f>
        <v>80904.734540358128</v>
      </c>
      <c r="K9" s="43">
        <f>IF('[3]DS Demand'!B8&gt;0, '[3]DS Demand'!B8,0)</f>
        <v>658698.2409544118</v>
      </c>
      <c r="L9" s="146">
        <f t="shared" si="0"/>
        <v>3504.3999999999996</v>
      </c>
      <c r="M9" s="61">
        <f>'[2]Net SW Loss'!B14</f>
        <v>69831.799999999988</v>
      </c>
      <c r="O9" s="62">
        <f t="shared" ref="O9:O32" si="2">C9+I9+K9+L9+M9</f>
        <v>848751.54099619109</v>
      </c>
      <c r="P9" s="62">
        <f t="shared" ref="P9:P32" si="3">J9+I9+K9+L9+M9</f>
        <v>848751.54099619109</v>
      </c>
      <c r="R9" s="62">
        <f t="shared" ref="R9:R32" si="4">G9-O9</f>
        <v>-103557.96645583282</v>
      </c>
      <c r="S9" s="62">
        <f t="shared" ref="S9:S32" si="5">G9-P9</f>
        <v>-103557.96645583282</v>
      </c>
      <c r="T9" s="84"/>
    </row>
    <row r="10" spans="1:20" ht="15" customHeight="1" x14ac:dyDescent="0.25">
      <c r="A10" s="38">
        <v>1990</v>
      </c>
      <c r="B10" s="146">
        <f>'[1]Capped Flow'!B9</f>
        <v>576576.00000000023</v>
      </c>
      <c r="C10" s="146">
        <f>'[2]GW Depletions'!B17</f>
        <v>95907.278229331947</v>
      </c>
      <c r="D10" s="149">
        <f>[2]SWCU!B12</f>
        <v>9655.2000000000007</v>
      </c>
      <c r="E10" s="146">
        <f>'[2]Reservoir Evap'!B13</f>
        <v>2673.2999999999997</v>
      </c>
      <c r="F10" s="28"/>
      <c r="G10" s="78">
        <f t="shared" si="1"/>
        <v>684811.77822933218</v>
      </c>
      <c r="H10" s="17"/>
      <c r="I10" s="146">
        <f>[2]SWDemand!B16</f>
        <v>19100.780863296295</v>
      </c>
      <c r="J10" s="43">
        <f>MAX([2]GWCU!B14*0.7,C10)</f>
        <v>95907.278229331947</v>
      </c>
      <c r="K10" s="43">
        <f>IF('[3]DS Demand'!B9&gt;0, '[3]DS Demand'!B9,0)</f>
        <v>612051.5094037595</v>
      </c>
      <c r="L10" s="146">
        <f t="shared" si="0"/>
        <v>2673.2999999999997</v>
      </c>
      <c r="M10" s="61">
        <f>'[2]Net SW Loss'!B15</f>
        <v>44941.599999999991</v>
      </c>
      <c r="O10" s="62">
        <f t="shared" si="2"/>
        <v>774674.46849638771</v>
      </c>
      <c r="P10" s="62">
        <f t="shared" si="3"/>
        <v>774674.46849638771</v>
      </c>
      <c r="R10" s="62">
        <f t="shared" si="4"/>
        <v>-89862.690267055528</v>
      </c>
      <c r="S10" s="62">
        <f t="shared" si="5"/>
        <v>-89862.690267055528</v>
      </c>
      <c r="T10" s="84"/>
    </row>
    <row r="11" spans="1:20" ht="15" customHeight="1" x14ac:dyDescent="0.25">
      <c r="A11" s="38">
        <v>1991</v>
      </c>
      <c r="B11" s="146">
        <f>'[1]Capped Flow'!B10</f>
        <v>496783.97999999986</v>
      </c>
      <c r="C11" s="146">
        <f>'[2]GW Depletions'!B18</f>
        <v>93216.145869905886</v>
      </c>
      <c r="D11" s="149">
        <f>[2]SWCU!B13</f>
        <v>20253.600000000002</v>
      </c>
      <c r="E11" s="146">
        <f>'[2]Reservoir Evap'!B14</f>
        <v>2763.1000000000004</v>
      </c>
      <c r="F11" s="28"/>
      <c r="G11" s="78">
        <f t="shared" si="1"/>
        <v>613016.82586990576</v>
      </c>
      <c r="H11" s="17"/>
      <c r="I11" s="146">
        <f>[2]SWDemand!B17</f>
        <v>35680.985030351738</v>
      </c>
      <c r="J11" s="43">
        <f>MAX([2]GWCU!B15*0.7,C11)</f>
        <v>93216.145869905886</v>
      </c>
      <c r="K11" s="43">
        <f>IF('[3]DS Demand'!B10&gt;0, '[3]DS Demand'!B10,0)</f>
        <v>515576.95890304184</v>
      </c>
      <c r="L11" s="146">
        <f t="shared" si="0"/>
        <v>2763.1000000000004</v>
      </c>
      <c r="M11" s="61">
        <f>'[2]Net SW Loss'!B16</f>
        <v>51569.4</v>
      </c>
      <c r="O11" s="62">
        <f t="shared" si="2"/>
        <v>698806.5898032994</v>
      </c>
      <c r="P11" s="62">
        <f t="shared" si="3"/>
        <v>698806.5898032994</v>
      </c>
      <c r="R11" s="62">
        <f t="shared" si="4"/>
        <v>-85789.763933393639</v>
      </c>
      <c r="S11" s="62">
        <f t="shared" si="5"/>
        <v>-85789.763933393639</v>
      </c>
      <c r="T11" s="84"/>
    </row>
    <row r="12" spans="1:20" ht="15" customHeight="1" x14ac:dyDescent="0.25">
      <c r="A12" s="38">
        <v>1992</v>
      </c>
      <c r="B12" s="146">
        <f>'[1]Capped Flow'!B11</f>
        <v>523205.09999999992</v>
      </c>
      <c r="C12" s="146">
        <f>'[2]GW Depletions'!B19</f>
        <v>101877.13518526169</v>
      </c>
      <c r="D12" s="149">
        <f>[2]SWCU!B14</f>
        <v>17601.3</v>
      </c>
      <c r="E12" s="146">
        <f>'[2]Reservoir Evap'!B15</f>
        <v>3300.3</v>
      </c>
      <c r="F12" s="28"/>
      <c r="G12" s="78">
        <f t="shared" si="1"/>
        <v>645983.83518526168</v>
      </c>
      <c r="H12" s="17"/>
      <c r="I12" s="146">
        <f>[2]SWDemand!B18</f>
        <v>32184.327180099117</v>
      </c>
      <c r="J12" s="43">
        <f>MAX([2]GWCU!B16*0.7,C12)</f>
        <v>101877.13518526169</v>
      </c>
      <c r="K12" s="43">
        <f>IF('[3]DS Demand'!B11&gt;0, '[3]DS Demand'!B11,0)</f>
        <v>540965.22690350469</v>
      </c>
      <c r="L12" s="146">
        <f t="shared" si="0"/>
        <v>3300.3</v>
      </c>
      <c r="M12" s="61">
        <f>'[2]Net SW Loss'!B17</f>
        <v>58881.599999999991</v>
      </c>
      <c r="O12" s="62">
        <f t="shared" si="2"/>
        <v>737208.58926886553</v>
      </c>
      <c r="P12" s="62">
        <f t="shared" si="3"/>
        <v>737208.58926886553</v>
      </c>
      <c r="R12" s="62">
        <f t="shared" si="4"/>
        <v>-91224.754083603853</v>
      </c>
      <c r="S12" s="62">
        <f t="shared" si="5"/>
        <v>-91224.754083603853</v>
      </c>
      <c r="T12" s="84"/>
    </row>
    <row r="13" spans="1:20" ht="15" customHeight="1" x14ac:dyDescent="0.25">
      <c r="A13" s="38">
        <v>1993</v>
      </c>
      <c r="B13" s="146">
        <f>'[1]Capped Flow'!B12</f>
        <v>529281.72</v>
      </c>
      <c r="C13" s="146">
        <f>'[2]GW Depletions'!B20</f>
        <v>95952.799743916446</v>
      </c>
      <c r="D13" s="149">
        <f>[2]SWCU!B15</f>
        <v>35210.6</v>
      </c>
      <c r="E13" s="146">
        <f>'[2]Reservoir Evap'!B16</f>
        <v>2658.2</v>
      </c>
      <c r="F13" s="28"/>
      <c r="G13" s="78">
        <f t="shared" si="1"/>
        <v>663103.31974391639</v>
      </c>
      <c r="H13" s="17"/>
      <c r="I13" s="146">
        <f>[2]SWDemand!B19</f>
        <v>71613.294922741843</v>
      </c>
      <c r="J13" s="43">
        <f>MAX([2]GWCU!B17*0.7,C13)</f>
        <v>95952.799743916446</v>
      </c>
      <c r="K13" s="43">
        <f>IF('[3]DS Demand'!B12&gt;0, '[3]DS Demand'!B12,0)</f>
        <v>563139.91476173571</v>
      </c>
      <c r="L13" s="146">
        <f t="shared" si="0"/>
        <v>2658.2</v>
      </c>
      <c r="M13" s="61">
        <f>'[2]Net SW Loss'!B18</f>
        <v>63381.099999999977</v>
      </c>
      <c r="O13" s="62">
        <f t="shared" si="2"/>
        <v>796745.30942839396</v>
      </c>
      <c r="P13" s="62">
        <f t="shared" si="3"/>
        <v>796745.30942839396</v>
      </c>
      <c r="R13" s="62">
        <f t="shared" si="4"/>
        <v>-133641.98968447756</v>
      </c>
      <c r="S13" s="62">
        <f t="shared" si="5"/>
        <v>-133641.98968447756</v>
      </c>
      <c r="T13" s="84"/>
    </row>
    <row r="14" spans="1:20" ht="15" customHeight="1" x14ac:dyDescent="0.25">
      <c r="A14" s="38">
        <v>1994</v>
      </c>
      <c r="B14" s="146">
        <f>'[1]Capped Flow'!B13</f>
        <v>641628.9</v>
      </c>
      <c r="C14" s="146">
        <f>'[2]GW Depletions'!B21</f>
        <v>85303.75391549585</v>
      </c>
      <c r="D14" s="149">
        <f>[2]SWCU!B16</f>
        <v>29482.699999999997</v>
      </c>
      <c r="E14" s="146">
        <f>'[2]Reservoir Evap'!B17</f>
        <v>3861</v>
      </c>
      <c r="F14" s="28"/>
      <c r="G14" s="78">
        <f t="shared" si="1"/>
        <v>760276.3539154958</v>
      </c>
      <c r="H14" s="17"/>
      <c r="I14" s="146">
        <f>[2]SWDemand!B20</f>
        <v>54882.682445397906</v>
      </c>
      <c r="J14" s="43">
        <f>MAX([2]GWCU!B18*0.7,C14)</f>
        <v>85303.75391549585</v>
      </c>
      <c r="K14" s="43">
        <f>IF('[3]DS Demand'!B13&gt;0, '[3]DS Demand'!B13,0)</f>
        <v>650579.0829858206</v>
      </c>
      <c r="L14" s="146">
        <f t="shared" si="0"/>
        <v>3861</v>
      </c>
      <c r="M14" s="61">
        <f>'[2]Net SW Loss'!B19</f>
        <v>59161.4</v>
      </c>
      <c r="O14" s="62">
        <f t="shared" si="2"/>
        <v>853787.91934671439</v>
      </c>
      <c r="P14" s="62">
        <f t="shared" si="3"/>
        <v>853787.91934671439</v>
      </c>
      <c r="R14" s="62">
        <f t="shared" si="4"/>
        <v>-93511.565431218594</v>
      </c>
      <c r="S14" s="62">
        <f t="shared" si="5"/>
        <v>-93511.565431218594</v>
      </c>
      <c r="T14" s="84"/>
    </row>
    <row r="15" spans="1:20" ht="15" customHeight="1" x14ac:dyDescent="0.25">
      <c r="A15" s="38">
        <v>1995</v>
      </c>
      <c r="B15" s="146">
        <f>'[1]Capped Flow'!B14</f>
        <v>639375.6599999998</v>
      </c>
      <c r="C15" s="146">
        <f>'[2]GW Depletions'!B22</f>
        <v>90713.076344972462</v>
      </c>
      <c r="D15" s="149">
        <f>[2]SWCU!B17</f>
        <v>8259.6</v>
      </c>
      <c r="E15" s="146">
        <f>'[2]Reservoir Evap'!B18</f>
        <v>3364.3999999999996</v>
      </c>
      <c r="F15" s="28"/>
      <c r="G15" s="78">
        <f t="shared" si="1"/>
        <v>741712.73634497228</v>
      </c>
      <c r="H15" s="17"/>
      <c r="I15" s="146">
        <f>[2]SWDemand!B21</f>
        <v>12811.175637629109</v>
      </c>
      <c r="J15" s="43">
        <f>MAX([2]GWCU!B19*0.7,C15)</f>
        <v>90713.076344972462</v>
      </c>
      <c r="K15" s="43">
        <f>IF('[3]DS Demand'!B14&gt;0, '[3]DS Demand'!B14,0)</f>
        <v>657337.31479130266</v>
      </c>
      <c r="L15" s="146">
        <f t="shared" si="0"/>
        <v>3364.3999999999996</v>
      </c>
      <c r="M15" s="61">
        <f>'[2]Net SW Loss'!B20</f>
        <v>47053.799999999996</v>
      </c>
      <c r="O15" s="62">
        <f t="shared" si="2"/>
        <v>811279.76677390432</v>
      </c>
      <c r="P15" s="62">
        <f t="shared" si="3"/>
        <v>811279.76677390432</v>
      </c>
      <c r="R15" s="62">
        <f t="shared" si="4"/>
        <v>-69567.030428932048</v>
      </c>
      <c r="S15" s="62">
        <f t="shared" si="5"/>
        <v>-69567.030428932048</v>
      </c>
      <c r="T15" s="84"/>
    </row>
    <row r="16" spans="1:20" ht="15" customHeight="1" x14ac:dyDescent="0.25">
      <c r="A16" s="38">
        <v>1996</v>
      </c>
      <c r="B16" s="146">
        <f>'[1]Capped Flow'!B15</f>
        <v>680779.44000000018</v>
      </c>
      <c r="C16" s="146">
        <f>'[2]GW Depletions'!B23</f>
        <v>90395.343258629466</v>
      </c>
      <c r="D16" s="149">
        <f>[2]SWCU!B18</f>
        <v>36861.100000000006</v>
      </c>
      <c r="E16" s="146">
        <f>'[2]Reservoir Evap'!B19</f>
        <v>3355.2000000000003</v>
      </c>
      <c r="F16" s="28"/>
      <c r="G16" s="78">
        <f t="shared" si="1"/>
        <v>811391.08325862954</v>
      </c>
      <c r="H16" s="17"/>
      <c r="I16" s="146">
        <f>[2]SWDemand!B22</f>
        <v>64135.367837959144</v>
      </c>
      <c r="J16" s="43">
        <f>MAX([2]GWCU!B20*0.7,C16)</f>
        <v>90395.343258629466</v>
      </c>
      <c r="K16" s="43">
        <f>IF('[3]DS Demand'!B15&gt;0, '[3]DS Demand'!B15,0)</f>
        <v>762064.93714344432</v>
      </c>
      <c r="L16" s="146">
        <f t="shared" si="0"/>
        <v>3355.2000000000003</v>
      </c>
      <c r="M16" s="61">
        <f>'[2]Net SW Loss'!B21</f>
        <v>79926.700000000012</v>
      </c>
      <c r="O16" s="62">
        <f t="shared" si="2"/>
        <v>999877.54824003298</v>
      </c>
      <c r="P16" s="62">
        <f t="shared" si="3"/>
        <v>999877.54824003298</v>
      </c>
      <c r="R16" s="62">
        <f t="shared" si="4"/>
        <v>-188486.46498140343</v>
      </c>
      <c r="S16" s="62">
        <f t="shared" si="5"/>
        <v>-188486.46498140343</v>
      </c>
      <c r="T16" s="84"/>
    </row>
    <row r="17" spans="1:20" ht="15" customHeight="1" x14ac:dyDescent="0.25">
      <c r="A17" s="38">
        <v>1997</v>
      </c>
      <c r="B17" s="146">
        <f>'[1]Capped Flow'!B16</f>
        <v>942381.00000000012</v>
      </c>
      <c r="C17" s="146">
        <f>'[2]GW Depletions'!B24</f>
        <v>86839.564502653811</v>
      </c>
      <c r="D17" s="149">
        <f>[2]SWCU!B19</f>
        <v>20923.3</v>
      </c>
      <c r="E17" s="146">
        <f>'[2]Reservoir Evap'!B20</f>
        <v>3684</v>
      </c>
      <c r="F17" s="28"/>
      <c r="G17" s="78">
        <f t="shared" si="1"/>
        <v>1053827.8645026539</v>
      </c>
      <c r="H17" s="17"/>
      <c r="I17" s="146">
        <f>[2]SWDemand!B23</f>
        <v>36186.212711464825</v>
      </c>
      <c r="J17" s="43">
        <f>MAX([2]GWCU!B21*0.7,C17)</f>
        <v>86839.564502653811</v>
      </c>
      <c r="K17" s="43">
        <f>IF('[3]DS Demand'!B16&gt;0, '[3]DS Demand'!B16,0)</f>
        <v>895872.32001540146</v>
      </c>
      <c r="L17" s="146">
        <f t="shared" si="0"/>
        <v>3684</v>
      </c>
      <c r="M17" s="61">
        <f>'[2]Net SW Loss'!B22</f>
        <v>64682.999999999993</v>
      </c>
      <c r="O17" s="62">
        <f t="shared" si="2"/>
        <v>1087265.0972295201</v>
      </c>
      <c r="P17" s="62">
        <f t="shared" si="3"/>
        <v>1087265.0972295201</v>
      </c>
      <c r="R17" s="62">
        <f t="shared" si="4"/>
        <v>-33437.232726866147</v>
      </c>
      <c r="S17" s="62">
        <f t="shared" si="5"/>
        <v>-33437.232726866147</v>
      </c>
      <c r="T17" s="84"/>
    </row>
    <row r="18" spans="1:20" ht="15" customHeight="1" x14ac:dyDescent="0.25">
      <c r="A18" s="38">
        <v>1998</v>
      </c>
      <c r="B18" s="146">
        <f>'[1]Capped Flow'!B17</f>
        <v>947622.06000000029</v>
      </c>
      <c r="C18" s="146">
        <f>'[2]GW Depletions'!B25</f>
        <v>85563.610781251147</v>
      </c>
      <c r="D18" s="149">
        <f>[2]SWCU!B20</f>
        <v>31849.5</v>
      </c>
      <c r="E18" s="146">
        <f>'[2]Reservoir Evap'!B21</f>
        <v>3812.7</v>
      </c>
      <c r="F18" s="28"/>
      <c r="G18" s="78">
        <f t="shared" si="1"/>
        <v>1068847.8707812515</v>
      </c>
      <c r="H18" s="17"/>
      <c r="I18" s="146">
        <f>[2]SWDemand!B24</f>
        <v>56463.819580699092</v>
      </c>
      <c r="J18" s="43">
        <f>MAX([2]GWCU!B22*0.7,C18)</f>
        <v>85563.610781251147</v>
      </c>
      <c r="K18" s="43">
        <f>IF('[3]DS Demand'!B17&gt;0, '[3]DS Demand'!B17,0)</f>
        <v>917631.2882870126</v>
      </c>
      <c r="L18" s="146">
        <f t="shared" si="0"/>
        <v>3812.7</v>
      </c>
      <c r="M18" s="61">
        <f>'[2]Net SW Loss'!B23</f>
        <v>77949.900000000009</v>
      </c>
      <c r="O18" s="62">
        <f t="shared" si="2"/>
        <v>1141421.3186489628</v>
      </c>
      <c r="P18" s="62">
        <f t="shared" si="3"/>
        <v>1141421.3186489628</v>
      </c>
      <c r="R18" s="62">
        <f t="shared" si="4"/>
        <v>-72573.447867711307</v>
      </c>
      <c r="S18" s="62">
        <f t="shared" si="5"/>
        <v>-72573.447867711307</v>
      </c>
      <c r="T18" s="84"/>
    </row>
    <row r="19" spans="1:20" ht="15" customHeight="1" x14ac:dyDescent="0.25">
      <c r="A19" s="38">
        <v>1999</v>
      </c>
      <c r="B19" s="146">
        <f>'[1]Capped Flow'!B18</f>
        <v>874607.58000000007</v>
      </c>
      <c r="C19" s="146">
        <f>'[2]GW Depletions'!B26</f>
        <v>87683.152888035125</v>
      </c>
      <c r="D19" s="149">
        <f>[2]SWCU!B21</f>
        <v>22969.5</v>
      </c>
      <c r="E19" s="146">
        <f>'[2]Reservoir Evap'!B22</f>
        <v>3530.3999999999996</v>
      </c>
      <c r="F19" s="28"/>
      <c r="G19" s="78">
        <f t="shared" si="1"/>
        <v>988790.63288803527</v>
      </c>
      <c r="H19" s="17"/>
      <c r="I19" s="146">
        <f>[2]SWDemand!B25</f>
        <v>34883.437093799294</v>
      </c>
      <c r="J19" s="43">
        <f>MAX([2]GWCU!B23*0.7,C19)</f>
        <v>87683.152888035125</v>
      </c>
      <c r="K19" s="43">
        <f>IF('[3]DS Demand'!B18&gt;0, '[3]DS Demand'!B18,0)</f>
        <v>902919.14570240735</v>
      </c>
      <c r="L19" s="146">
        <f t="shared" si="0"/>
        <v>3530.3999999999996</v>
      </c>
      <c r="M19" s="61">
        <f>'[2]Net SW Loss'!B24</f>
        <v>64897.599999999991</v>
      </c>
      <c r="O19" s="62">
        <f t="shared" si="2"/>
        <v>1093913.7356842419</v>
      </c>
      <c r="P19" s="62">
        <f t="shared" si="3"/>
        <v>1093913.7356842419</v>
      </c>
      <c r="R19" s="62">
        <f t="shared" si="4"/>
        <v>-105123.1027962066</v>
      </c>
      <c r="S19" s="62">
        <f t="shared" si="5"/>
        <v>-105123.1027962066</v>
      </c>
      <c r="T19" s="84"/>
    </row>
    <row r="20" spans="1:20" ht="15" customHeight="1" x14ac:dyDescent="0.25">
      <c r="A20" s="38">
        <v>2000</v>
      </c>
      <c r="B20" s="146">
        <f>'[1]Capped Flow'!B19</f>
        <v>756417.41999999993</v>
      </c>
      <c r="C20" s="146">
        <f>'[2]GW Depletions'!B27</f>
        <v>85034.603895828739</v>
      </c>
      <c r="D20" s="149">
        <f>[2]SWCU!B22</f>
        <v>20658</v>
      </c>
      <c r="E20" s="146">
        <f>'[2]Reservoir Evap'!B23</f>
        <v>3708.4</v>
      </c>
      <c r="F20" s="28"/>
      <c r="G20" s="78">
        <f t="shared" si="1"/>
        <v>865818.42389582866</v>
      </c>
      <c r="H20" s="17"/>
      <c r="I20" s="146">
        <f>[2]SWDemand!B26</f>
        <v>38380.214466299556</v>
      </c>
      <c r="J20" s="43">
        <f>MAX([2]GWCU!B24*0.7,C20)</f>
        <v>85034.603895828739</v>
      </c>
      <c r="K20" s="43">
        <f>IF('[3]DS Demand'!B19&gt;0, '[3]DS Demand'!B19,0)</f>
        <v>781663.9509828093</v>
      </c>
      <c r="L20" s="146">
        <f t="shared" si="0"/>
        <v>3708.4</v>
      </c>
      <c r="M20" s="61">
        <f>'[2]Net SW Loss'!B25</f>
        <v>64928.899999999994</v>
      </c>
      <c r="O20" s="62">
        <f t="shared" si="2"/>
        <v>973716.06934493768</v>
      </c>
      <c r="P20" s="62">
        <f t="shared" si="3"/>
        <v>973716.06934493768</v>
      </c>
      <c r="R20" s="62">
        <f t="shared" si="4"/>
        <v>-107897.64544910903</v>
      </c>
      <c r="S20" s="62">
        <f t="shared" si="5"/>
        <v>-107897.64544910903</v>
      </c>
      <c r="T20" s="84"/>
    </row>
    <row r="21" spans="1:20" ht="15" customHeight="1" x14ac:dyDescent="0.25">
      <c r="A21" s="38">
        <v>2001</v>
      </c>
      <c r="B21" s="146">
        <f>'[1]Capped Flow'!B20</f>
        <v>646398.71999999997</v>
      </c>
      <c r="C21" s="146">
        <f>'[2]GW Depletions'!B28</f>
        <v>100626.97523110469</v>
      </c>
      <c r="D21" s="149">
        <f>[2]SWCU!B23</f>
        <v>16984.099999999999</v>
      </c>
      <c r="E21" s="146">
        <f>'[2]Reservoir Evap'!B24</f>
        <v>3546.2000000000003</v>
      </c>
      <c r="F21" s="28"/>
      <c r="G21" s="78">
        <f t="shared" si="1"/>
        <v>767555.99523110455</v>
      </c>
      <c r="H21" s="17"/>
      <c r="I21" s="146">
        <f>[2]SWDemand!B27</f>
        <v>28867.13599387939</v>
      </c>
      <c r="J21" s="43">
        <f>MAX([2]GWCU!B25*0.7,C21)</f>
        <v>100626.97523110469</v>
      </c>
      <c r="K21" s="43">
        <f>IF('[3]DS Demand'!B20&gt;0, '[3]DS Demand'!B20,0)</f>
        <v>668297.66749544337</v>
      </c>
      <c r="L21" s="146">
        <f t="shared" si="0"/>
        <v>3546.2000000000003</v>
      </c>
      <c r="M21" s="61">
        <f>'[2]Net SW Loss'!B26</f>
        <v>62033.80000000001</v>
      </c>
      <c r="O21" s="62">
        <f t="shared" si="2"/>
        <v>863371.77872042742</v>
      </c>
      <c r="P21" s="62">
        <f t="shared" si="3"/>
        <v>863371.77872042742</v>
      </c>
      <c r="R21" s="62">
        <f t="shared" si="4"/>
        <v>-95815.783489322872</v>
      </c>
      <c r="S21" s="62">
        <f t="shared" si="5"/>
        <v>-95815.783489322872</v>
      </c>
      <c r="T21" s="84"/>
    </row>
    <row r="22" spans="1:20" ht="15" customHeight="1" x14ac:dyDescent="0.25">
      <c r="A22" s="38">
        <v>2002</v>
      </c>
      <c r="B22" s="146">
        <f>'[1]Capped Flow'!B21</f>
        <v>587234.34000000008</v>
      </c>
      <c r="C22" s="146">
        <f>'[2]GW Depletions'!B29</f>
        <v>100189.03432203857</v>
      </c>
      <c r="D22" s="149">
        <f>[2]SWCU!B24</f>
        <v>19084.099999999999</v>
      </c>
      <c r="E22" s="146">
        <f>'[2]Reservoir Evap'!B25</f>
        <v>3131.8</v>
      </c>
      <c r="F22" s="28"/>
      <c r="G22" s="78">
        <f t="shared" si="1"/>
        <v>709639.27432203863</v>
      </c>
      <c r="H22" s="17"/>
      <c r="I22" s="146">
        <f>[2]SWDemand!B28</f>
        <v>53315.816627478467</v>
      </c>
      <c r="J22" s="43">
        <f>MAX([2]GWCU!B26*0.7,C22)</f>
        <v>100189.03432203857</v>
      </c>
      <c r="K22" s="43">
        <f>IF('[3]DS Demand'!B21&gt;0, '[3]DS Demand'!B21,0)</f>
        <v>634859.41517851723</v>
      </c>
      <c r="L22" s="146">
        <f t="shared" si="0"/>
        <v>3131.8</v>
      </c>
      <c r="M22" s="61">
        <f>'[2]Net SW Loss'!B27</f>
        <v>52192.899999999994</v>
      </c>
      <c r="O22" s="62">
        <f t="shared" si="2"/>
        <v>843688.9661280344</v>
      </c>
      <c r="P22" s="62">
        <f t="shared" si="3"/>
        <v>843688.9661280344</v>
      </c>
      <c r="R22" s="62">
        <f t="shared" si="4"/>
        <v>-134049.69180599577</v>
      </c>
      <c r="S22" s="62">
        <f t="shared" si="5"/>
        <v>-134049.69180599577</v>
      </c>
      <c r="T22" s="84"/>
    </row>
    <row r="23" spans="1:20" ht="15" customHeight="1" x14ac:dyDescent="0.25">
      <c r="A23" s="38">
        <v>2003</v>
      </c>
      <c r="B23" s="146">
        <f>'[1]Capped Flow'!B22</f>
        <v>409753.08000000019</v>
      </c>
      <c r="C23" s="146">
        <f>'[2]GW Depletions'!B30</f>
        <v>127021.02411944445</v>
      </c>
      <c r="D23" s="149">
        <f>[2]SWCU!B25</f>
        <v>9528.2999999999993</v>
      </c>
      <c r="E23" s="146">
        <f>'[2]Reservoir Evap'!B26</f>
        <v>1648.1</v>
      </c>
      <c r="F23" s="28"/>
      <c r="G23" s="78">
        <f t="shared" si="1"/>
        <v>547950.50411944464</v>
      </c>
      <c r="H23" s="17"/>
      <c r="I23" s="146">
        <f>[2]SWDemand!B29</f>
        <v>26370.26470065325</v>
      </c>
      <c r="J23" s="43">
        <f>MAX([2]GWCU!B27*0.7,C23)</f>
        <v>127021.02411944445</v>
      </c>
      <c r="K23" s="43">
        <f>IF('[3]DS Demand'!B22&gt;0, '[3]DS Demand'!B22,0)</f>
        <v>479333.55360068195</v>
      </c>
      <c r="L23" s="146">
        <f t="shared" si="0"/>
        <v>1648.1</v>
      </c>
      <c r="M23" s="61">
        <f>'[2]Net SW Loss'!B28</f>
        <v>43142.200000000004</v>
      </c>
      <c r="O23" s="62">
        <f t="shared" si="2"/>
        <v>677515.14242077956</v>
      </c>
      <c r="P23" s="62">
        <f t="shared" si="3"/>
        <v>677515.14242077956</v>
      </c>
      <c r="R23" s="62">
        <f t="shared" si="4"/>
        <v>-129564.63830133493</v>
      </c>
      <c r="S23" s="62">
        <f t="shared" si="5"/>
        <v>-129564.63830133493</v>
      </c>
      <c r="T23" s="84"/>
    </row>
    <row r="24" spans="1:20" ht="15" customHeight="1" x14ac:dyDescent="0.25">
      <c r="A24" s="38">
        <v>2004</v>
      </c>
      <c r="B24" s="146">
        <f>'[1]Capped Flow'!B23</f>
        <v>367915.67999999993</v>
      </c>
      <c r="C24" s="146">
        <f>'[2]GW Depletions'!B31</f>
        <v>137846.20083972221</v>
      </c>
      <c r="D24" s="149">
        <f>[2]SWCU!B26</f>
        <v>18747.100000000002</v>
      </c>
      <c r="E24" s="146">
        <f>'[2]Reservoir Evap'!B27</f>
        <v>1517.9</v>
      </c>
      <c r="F24" s="28"/>
      <c r="G24" s="78">
        <f t="shared" si="1"/>
        <v>526026.88083972211</v>
      </c>
      <c r="H24" s="17"/>
      <c r="I24" s="146">
        <f>[2]SWDemand!B30</f>
        <v>52784.618063074675</v>
      </c>
      <c r="J24" s="43">
        <f>MAX([2]GWCU!B28*0.7,C24)</f>
        <v>137846.20083972221</v>
      </c>
      <c r="K24" s="43">
        <f>IF('[3]DS Demand'!B23&gt;0, '[3]DS Demand'!B23,0)</f>
        <v>464293.77055492398</v>
      </c>
      <c r="L24" s="146">
        <f t="shared" si="0"/>
        <v>1517.9</v>
      </c>
      <c r="M24" s="61">
        <f>'[2]Net SW Loss'!B29</f>
        <v>44307.8</v>
      </c>
      <c r="O24" s="62">
        <f t="shared" si="2"/>
        <v>700750.28945772094</v>
      </c>
      <c r="P24" s="62">
        <f t="shared" si="3"/>
        <v>700750.28945772094</v>
      </c>
      <c r="R24" s="62">
        <f t="shared" si="4"/>
        <v>-174723.40861799882</v>
      </c>
      <c r="S24" s="62">
        <f t="shared" si="5"/>
        <v>-174723.40861799882</v>
      </c>
      <c r="T24" s="84"/>
    </row>
    <row r="25" spans="1:20" ht="15" customHeight="1" x14ac:dyDescent="0.25">
      <c r="A25" s="38">
        <v>2005</v>
      </c>
      <c r="B25" s="146">
        <f>'[1]Capped Flow'!B24</f>
        <v>393653.69999999984</v>
      </c>
      <c r="C25" s="146">
        <f>'[2]GW Depletions'!B32</f>
        <v>139639.12820787649</v>
      </c>
      <c r="D25" s="149">
        <f>[2]SWCU!B27</f>
        <v>17388.3</v>
      </c>
      <c r="E25" s="146">
        <f>'[2]Reservoir Evap'!B28</f>
        <v>1373.4</v>
      </c>
      <c r="F25" s="28"/>
      <c r="G25" s="78">
        <f t="shared" si="1"/>
        <v>552054.52820787637</v>
      </c>
      <c r="H25" s="17"/>
      <c r="I25" s="146">
        <f>[2]SWDemand!B31</f>
        <v>43350.081720026974</v>
      </c>
      <c r="J25" s="43">
        <f>MAX([2]GWCU!B29*0.7,C25)</f>
        <v>139639.12820787649</v>
      </c>
      <c r="K25" s="43">
        <f>IF('[3]DS Demand'!B24&gt;0, '[3]DS Demand'!B24,0)</f>
        <v>477287.58790296712</v>
      </c>
      <c r="L25" s="146">
        <f t="shared" si="0"/>
        <v>1373.4</v>
      </c>
      <c r="M25" s="61">
        <f>'[2]Net SW Loss'!B30</f>
        <v>41132.699999999997</v>
      </c>
      <c r="O25" s="62">
        <f t="shared" si="2"/>
        <v>702782.89783087058</v>
      </c>
      <c r="P25" s="62">
        <f t="shared" si="3"/>
        <v>702782.89783087058</v>
      </c>
      <c r="R25" s="62">
        <f t="shared" si="4"/>
        <v>-150728.36962299421</v>
      </c>
      <c r="S25" s="62">
        <f t="shared" si="5"/>
        <v>-150728.36962299421</v>
      </c>
      <c r="T25" s="84"/>
    </row>
    <row r="26" spans="1:20" ht="15" customHeight="1" x14ac:dyDescent="0.25">
      <c r="A26" s="38">
        <v>2006</v>
      </c>
      <c r="B26" s="146">
        <f>'[1]Capped Flow'!B25</f>
        <v>413717.04000000004</v>
      </c>
      <c r="C26" s="146">
        <f>'[2]GW Depletions'!B33</f>
        <v>128055.5772928145</v>
      </c>
      <c r="D26" s="149">
        <f>[2]SWCU!B28</f>
        <v>35818.299999999996</v>
      </c>
      <c r="E26" s="146">
        <f>'[2]Reservoir Evap'!B29</f>
        <v>2697</v>
      </c>
      <c r="F26" s="28"/>
      <c r="G26" s="78">
        <f t="shared" si="1"/>
        <v>580287.91729281459</v>
      </c>
      <c r="H26" s="17"/>
      <c r="I26" s="146">
        <f>[2]SWDemand!B32</f>
        <v>73267.707446488479</v>
      </c>
      <c r="J26" s="43">
        <f>MAX([2]GWCU!B30*0.7,C26)</f>
        <v>128055.5772928145</v>
      </c>
      <c r="K26" s="43">
        <f>IF('[3]DS Demand'!B25&gt;0, '[3]DS Demand'!B25,0)</f>
        <v>487783.97603305138</v>
      </c>
      <c r="L26" s="146">
        <f t="shared" si="0"/>
        <v>2697</v>
      </c>
      <c r="M26" s="61">
        <f>'[2]Net SW Loss'!B31</f>
        <v>60077.2</v>
      </c>
      <c r="O26" s="62">
        <f t="shared" si="2"/>
        <v>751881.46077235439</v>
      </c>
      <c r="P26" s="62">
        <f t="shared" si="3"/>
        <v>751881.46077235439</v>
      </c>
      <c r="R26" s="62">
        <f t="shared" si="4"/>
        <v>-171593.5434795398</v>
      </c>
      <c r="S26" s="62">
        <f t="shared" si="5"/>
        <v>-171593.5434795398</v>
      </c>
      <c r="T26" s="84"/>
    </row>
    <row r="27" spans="1:20" ht="15" customHeight="1" x14ac:dyDescent="0.25">
      <c r="A27" s="38">
        <v>2007</v>
      </c>
      <c r="B27" s="146">
        <f>'[1]Capped Flow'!B26</f>
        <v>382698.3600000001</v>
      </c>
      <c r="C27" s="146">
        <f>'[2]GW Depletions'!B34</f>
        <v>136144.73138567724</v>
      </c>
      <c r="D27" s="149">
        <f>[2]SWCU!B29</f>
        <v>11333.7</v>
      </c>
      <c r="E27" s="146">
        <f>'[2]Reservoir Evap'!B30</f>
        <v>2782</v>
      </c>
      <c r="F27" s="28"/>
      <c r="G27" s="78">
        <f t="shared" si="1"/>
        <v>532958.79138567729</v>
      </c>
      <c r="H27" s="17"/>
      <c r="I27" s="146">
        <f>[2]SWDemand!B33</f>
        <v>29729.147846476531</v>
      </c>
      <c r="J27" s="43">
        <f>MAX([2]GWCU!B31*0.7,C27)</f>
        <v>136144.73138567724</v>
      </c>
      <c r="K27" s="43">
        <f>IF('[3]DS Demand'!B26&gt;0, '[3]DS Demand'!B26,0)</f>
        <v>426093.28474717931</v>
      </c>
      <c r="L27" s="146">
        <f t="shared" si="0"/>
        <v>2782</v>
      </c>
      <c r="M27" s="61">
        <f>'[2]Net SW Loss'!B32</f>
        <v>49117.000000000007</v>
      </c>
      <c r="O27" s="62">
        <f t="shared" si="2"/>
        <v>643866.16397933313</v>
      </c>
      <c r="P27" s="62">
        <f t="shared" si="3"/>
        <v>643866.16397933313</v>
      </c>
      <c r="R27" s="62">
        <f t="shared" si="4"/>
        <v>-110907.37259365583</v>
      </c>
      <c r="S27" s="62">
        <f t="shared" si="5"/>
        <v>-110907.37259365583</v>
      </c>
      <c r="T27" s="84"/>
    </row>
    <row r="28" spans="1:20" ht="15" customHeight="1" x14ac:dyDescent="0.25">
      <c r="A28" s="38">
        <v>2008</v>
      </c>
      <c r="B28" s="146">
        <f>'[1]Capped Flow'!B27</f>
        <v>432550.79999999981</v>
      </c>
      <c r="C28" s="146">
        <f>'[2]GW Depletions'!B35</f>
        <v>140036.36215929064</v>
      </c>
      <c r="D28" s="149">
        <f>[2]SWCU!B30</f>
        <v>17126.799999999996</v>
      </c>
      <c r="E28" s="146">
        <f>'[2]Reservoir Evap'!B31</f>
        <v>2773</v>
      </c>
      <c r="F28" s="28"/>
      <c r="G28" s="78">
        <f t="shared" si="1"/>
        <v>592486.96215929044</v>
      </c>
      <c r="H28" s="17"/>
      <c r="I28" s="146">
        <f>[2]SWDemand!B34</f>
        <v>36657.48749705674</v>
      </c>
      <c r="J28" s="43">
        <f>MAX([2]GWCU!B32*0.7,C28)</f>
        <v>140036.36215929064</v>
      </c>
      <c r="K28" s="43">
        <f>IF('[3]DS Demand'!B27&gt;0, '[3]DS Demand'!B27,0)</f>
        <v>503368.21688569686</v>
      </c>
      <c r="L28" s="146">
        <f t="shared" si="0"/>
        <v>2773</v>
      </c>
      <c r="M28" s="61">
        <f>'[2]Net SW Loss'!B33</f>
        <v>55483.599999999991</v>
      </c>
      <c r="O28" s="62">
        <f t="shared" si="2"/>
        <v>738318.66654204426</v>
      </c>
      <c r="P28" s="62">
        <f t="shared" si="3"/>
        <v>738318.66654204426</v>
      </c>
      <c r="R28" s="62">
        <f t="shared" si="4"/>
        <v>-145831.70438275381</v>
      </c>
      <c r="S28" s="62">
        <f t="shared" si="5"/>
        <v>-145831.70438275381</v>
      </c>
      <c r="T28" s="84"/>
    </row>
    <row r="29" spans="1:20" ht="15" customHeight="1" x14ac:dyDescent="0.25">
      <c r="A29" s="38">
        <v>2009</v>
      </c>
      <c r="B29" s="146">
        <f>'[1]Capped Flow'!B28</f>
        <v>488576.88000000012</v>
      </c>
      <c r="C29" s="146">
        <f>'[2]GW Depletions'!B36</f>
        <v>129035.07940895317</v>
      </c>
      <c r="D29" s="149">
        <f>[2]SWCU!B31</f>
        <v>21736.199999999997</v>
      </c>
      <c r="E29" s="146">
        <f>'[2]Reservoir Evap'!B32</f>
        <v>3796.2</v>
      </c>
      <c r="F29" s="28"/>
      <c r="G29" s="78">
        <f t="shared" si="1"/>
        <v>643144.35940895323</v>
      </c>
      <c r="H29" s="17"/>
      <c r="I29" s="146">
        <f>[2]SWDemand!B35</f>
        <v>39505.295872163675</v>
      </c>
      <c r="J29" s="43">
        <f>MAX([2]GWCU!B33*0.7,C29)</f>
        <v>129035.07940895317</v>
      </c>
      <c r="K29" s="43">
        <f>IF('[3]DS Demand'!B28&gt;0, '[3]DS Demand'!B28,0)</f>
        <v>547841.95342551265</v>
      </c>
      <c r="L29" s="146">
        <f t="shared" si="0"/>
        <v>3796.2</v>
      </c>
      <c r="M29" s="61">
        <f>'[2]Net SW Loss'!B34</f>
        <v>67306.5</v>
      </c>
      <c r="O29" s="62">
        <f t="shared" si="2"/>
        <v>787485.02870662941</v>
      </c>
      <c r="P29" s="62">
        <f t="shared" si="3"/>
        <v>787485.02870662941</v>
      </c>
      <c r="R29" s="62">
        <f t="shared" si="4"/>
        <v>-144340.66929767618</v>
      </c>
      <c r="S29" s="62">
        <f t="shared" si="5"/>
        <v>-144340.66929767618</v>
      </c>
      <c r="T29" s="84"/>
    </row>
    <row r="30" spans="1:20" ht="15" customHeight="1" x14ac:dyDescent="0.25">
      <c r="A30" s="38">
        <v>2010</v>
      </c>
      <c r="B30" s="146">
        <f>'[1]Capped Flow'!B29</f>
        <v>585963.17999999993</v>
      </c>
      <c r="C30" s="146">
        <f>'[2]GW Depletions'!B37</f>
        <v>105567.33568620293</v>
      </c>
      <c r="D30" s="149">
        <f>[2]SWCU!B32</f>
        <v>20619.199999999997</v>
      </c>
      <c r="E30" s="146">
        <f>'[2]Reservoir Evap'!B33</f>
        <v>3718.7999999999997</v>
      </c>
      <c r="F30" s="28"/>
      <c r="G30" s="78">
        <f t="shared" si="1"/>
        <v>715868.51568620291</v>
      </c>
      <c r="H30" s="17"/>
      <c r="I30" s="146">
        <f>[2]SWDemand!B36</f>
        <v>35614.970808155755</v>
      </c>
      <c r="J30" s="43">
        <f>MAX([2]GWCU!B34*0.7,C30)</f>
        <v>105567.33568620293</v>
      </c>
      <c r="K30" s="43">
        <f>IF('[3]DS Demand'!B29&gt;0, '[3]DS Demand'!B29,0)</f>
        <v>630982.96479227196</v>
      </c>
      <c r="L30" s="146">
        <f t="shared" si="0"/>
        <v>3718.7999999999997</v>
      </c>
      <c r="M30" s="61">
        <f>'[2]Net SW Loss'!B35</f>
        <v>65215.4</v>
      </c>
      <c r="O30" s="62">
        <f t="shared" si="2"/>
        <v>841099.47128663072</v>
      </c>
      <c r="P30" s="62">
        <f t="shared" si="3"/>
        <v>841099.47128663072</v>
      </c>
      <c r="R30" s="62">
        <f t="shared" si="4"/>
        <v>-125230.95560042781</v>
      </c>
      <c r="S30" s="62">
        <f t="shared" si="5"/>
        <v>-125230.95560042781</v>
      </c>
      <c r="T30" s="84"/>
    </row>
    <row r="31" spans="1:20" ht="15" customHeight="1" x14ac:dyDescent="0.25">
      <c r="A31" s="38">
        <v>2011</v>
      </c>
      <c r="B31" s="146">
        <f>'[1]Capped Flow'!B30</f>
        <v>1439287.7399999998</v>
      </c>
      <c r="C31" s="146">
        <f>'[2]GW Depletions'!B38</f>
        <v>98557.445392254347</v>
      </c>
      <c r="D31" s="149">
        <f>[2]SWCU!B33</f>
        <v>18862.7</v>
      </c>
      <c r="E31" s="146">
        <f>'[2]Reservoir Evap'!B34</f>
        <v>3727.2</v>
      </c>
      <c r="F31" s="28"/>
      <c r="G31" s="78">
        <f t="shared" si="1"/>
        <v>1560435.0853922539</v>
      </c>
      <c r="H31" s="17"/>
      <c r="I31" s="146">
        <f>[2]SWDemand!B37</f>
        <v>32344.368520778695</v>
      </c>
      <c r="J31" s="43">
        <f>MAX([2]GWCU!B35*0.7,C31)</f>
        <v>98557.445392254347</v>
      </c>
      <c r="K31" s="43">
        <f>IF('[3]DS Demand'!B30&gt;0, '[3]DS Demand'!B30,0)</f>
        <v>1090778.3055562784</v>
      </c>
      <c r="L31" s="146">
        <f t="shared" si="0"/>
        <v>3727.2</v>
      </c>
      <c r="M31" s="61">
        <f>'[2]Net SW Loss'!B36</f>
        <v>80035.799999999988</v>
      </c>
      <c r="O31" s="62">
        <f t="shared" si="2"/>
        <v>1305443.1194693116</v>
      </c>
      <c r="P31" s="62">
        <f t="shared" si="3"/>
        <v>1305443.1194693116</v>
      </c>
      <c r="R31" s="62">
        <f t="shared" si="4"/>
        <v>254991.96592294239</v>
      </c>
      <c r="S31" s="62">
        <f t="shared" si="5"/>
        <v>254991.96592294239</v>
      </c>
      <c r="T31" s="84"/>
    </row>
    <row r="32" spans="1:20" ht="14.25" customHeight="1" x14ac:dyDescent="0.25">
      <c r="A32" s="38">
        <v>2012</v>
      </c>
      <c r="B32" s="146">
        <f>'[1]Capped Flow'!B31</f>
        <v>856680.65999999992</v>
      </c>
      <c r="C32" s="146">
        <f>'[2]GW Depletions'!B39</f>
        <v>96558.032730977269</v>
      </c>
      <c r="D32" s="149">
        <f>[2]SWCU!B34</f>
        <v>38622</v>
      </c>
      <c r="E32" s="146">
        <f>'[2]Reservoir Evap'!B35</f>
        <v>3476.7</v>
      </c>
      <c r="F32" s="28"/>
      <c r="G32" s="78">
        <f t="shared" si="1"/>
        <v>995337.39273097715</v>
      </c>
      <c r="H32" s="17"/>
      <c r="I32" s="146">
        <f>[2]SWDemand!B38</f>
        <v>79088.587358663441</v>
      </c>
      <c r="J32" s="43">
        <f>MAX([2]GWCU!B36*0.7,C32)</f>
        <v>96558.032730977269</v>
      </c>
      <c r="K32" s="43">
        <f>IF('[3]DS Demand'!B31&gt;0, '[3]DS Demand'!B31,0)</f>
        <v>917222.89621857111</v>
      </c>
      <c r="L32" s="146">
        <f t="shared" si="0"/>
        <v>3476.7</v>
      </c>
      <c r="M32" s="61">
        <f>'[2]Net SW Loss'!B37</f>
        <v>84318.999999999985</v>
      </c>
      <c r="O32" s="62">
        <f t="shared" si="2"/>
        <v>1180665.2163082117</v>
      </c>
      <c r="P32" s="62">
        <f t="shared" si="3"/>
        <v>1180665.2163082117</v>
      </c>
      <c r="R32" s="62">
        <f t="shared" si="4"/>
        <v>-185327.82357723452</v>
      </c>
      <c r="S32" s="62">
        <f t="shared" si="5"/>
        <v>-185327.82357723452</v>
      </c>
      <c r="T32" s="84"/>
    </row>
    <row r="33" spans="1:20" ht="15" customHeight="1" x14ac:dyDescent="0.25">
      <c r="D33"/>
      <c r="E33"/>
      <c r="F33" s="115"/>
      <c r="G33"/>
      <c r="H33"/>
      <c r="I33" s="3"/>
      <c r="J33" s="3"/>
      <c r="K33" s="3"/>
      <c r="L33" s="120"/>
      <c r="M33" s="120"/>
      <c r="N33" s="3"/>
      <c r="O33" s="3"/>
      <c r="P33" s="3"/>
      <c r="Q33" s="120"/>
      <c r="R33" s="3"/>
      <c r="S33" s="120"/>
      <c r="T33" s="3"/>
    </row>
    <row r="34" spans="1:20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5" customHeight="1" x14ac:dyDescent="0.25">
      <c r="A35" t="s">
        <v>9</v>
      </c>
      <c r="B35" s="16">
        <f t="shared" ref="B35:K35" si="6">AVERAGE(B8:B32)</f>
        <v>637305.84719999996</v>
      </c>
      <c r="C35" s="16">
        <f t="shared" si="6"/>
        <v>103771.55443364223</v>
      </c>
      <c r="D35" s="16">
        <f t="shared" si="6"/>
        <v>21471.015999999996</v>
      </c>
      <c r="E35" s="16">
        <f t="shared" si="6"/>
        <v>3141.02</v>
      </c>
      <c r="F35" s="28"/>
      <c r="G35" s="16">
        <f t="shared" si="6"/>
        <v>765689.43763364246</v>
      </c>
      <c r="H35" s="16"/>
      <c r="I35" s="83">
        <f t="shared" si="6"/>
        <v>42116.823663207259</v>
      </c>
      <c r="J35" s="83">
        <f t="shared" si="6"/>
        <v>103771.55443364223</v>
      </c>
      <c r="K35" s="41">
        <f t="shared" si="6"/>
        <v>658400.75114283664</v>
      </c>
      <c r="L35" s="83">
        <f>AVERAGE(L8:L32)</f>
        <v>3141.02</v>
      </c>
      <c r="M35" s="83">
        <f>AVERAGE(M8:M32)</f>
        <v>60560.924000000006</v>
      </c>
      <c r="O35" s="83">
        <f>AVERAGE(O8:O32)</f>
        <v>867991.0732396862</v>
      </c>
      <c r="P35" s="83">
        <f>AVERAGE(P8:P32)</f>
        <v>867991.0732396862</v>
      </c>
      <c r="Q35" s="83"/>
      <c r="R35" s="83">
        <f>AVERAGE(R8:R32)</f>
        <v>-102301.63560604384</v>
      </c>
      <c r="S35" s="83">
        <f>AVERAGE(S8:S32)</f>
        <v>-102301.63560604384</v>
      </c>
      <c r="T35" s="83"/>
    </row>
    <row r="36" spans="1:20" ht="15" customHeight="1" x14ac:dyDescent="0.25">
      <c r="D36"/>
      <c r="E36"/>
      <c r="F36" s="115"/>
      <c r="G36"/>
      <c r="H36"/>
      <c r="J36" s="16"/>
      <c r="K36" s="28"/>
      <c r="L36" s="28"/>
      <c r="M36" s="28"/>
    </row>
    <row r="37" spans="1:20" ht="15" customHeight="1" x14ac:dyDescent="0.25">
      <c r="D37"/>
      <c r="E37"/>
      <c r="F37" s="115"/>
      <c r="G37"/>
      <c r="H37"/>
      <c r="K37" s="28"/>
      <c r="L37" s="28"/>
      <c r="M37" s="28"/>
    </row>
    <row r="38" spans="1:20" x14ac:dyDescent="0.25">
      <c r="A38" t="s">
        <v>10</v>
      </c>
      <c r="D38" t="s">
        <v>6</v>
      </c>
      <c r="E38"/>
      <c r="F38"/>
      <c r="G38" s="114" t="s">
        <v>7</v>
      </c>
      <c r="H38" s="115"/>
      <c r="J38" s="16"/>
    </row>
    <row r="39" spans="1:20" x14ac:dyDescent="0.25">
      <c r="A39" s="26" t="s">
        <v>2</v>
      </c>
      <c r="B39" s="39">
        <f>B35</f>
        <v>637305.84719999996</v>
      </c>
      <c r="D39" s="39" t="s">
        <v>11</v>
      </c>
      <c r="E39" s="111">
        <f>C35</f>
        <v>103771.55443364223</v>
      </c>
      <c r="F39"/>
      <c r="G39" s="39" t="s">
        <v>12</v>
      </c>
      <c r="H39" s="111">
        <f>J35</f>
        <v>103771.55443364223</v>
      </c>
      <c r="J39" s="16" t="s">
        <v>135</v>
      </c>
      <c r="K39" s="161" t="s">
        <v>136</v>
      </c>
    </row>
    <row r="40" spans="1:20" x14ac:dyDescent="0.25">
      <c r="A40" s="26" t="s">
        <v>11</v>
      </c>
      <c r="B40" s="39">
        <f>C35</f>
        <v>103771.55443364223</v>
      </c>
      <c r="D40" s="39" t="s">
        <v>13</v>
      </c>
      <c r="E40" s="111">
        <f>I35</f>
        <v>42116.823663207259</v>
      </c>
      <c r="F40"/>
      <c r="G40" s="39" t="s">
        <v>13</v>
      </c>
      <c r="H40" s="111">
        <f>E40</f>
        <v>42116.823663207259</v>
      </c>
      <c r="J40" s="161" t="s">
        <v>137</v>
      </c>
      <c r="K40" s="161" t="s">
        <v>138</v>
      </c>
    </row>
    <row r="41" spans="1:20" x14ac:dyDescent="0.25">
      <c r="A41" s="26" t="s">
        <v>3</v>
      </c>
      <c r="B41" s="39">
        <f>D35</f>
        <v>21471.015999999996</v>
      </c>
      <c r="D41" s="103" t="s">
        <v>20</v>
      </c>
      <c r="E41" s="39">
        <f>L35</f>
        <v>3141.02</v>
      </c>
      <c r="G41" s="79" t="s">
        <v>20</v>
      </c>
      <c r="H41" s="39">
        <f>L35</f>
        <v>3141.02</v>
      </c>
      <c r="J41" s="161" t="s">
        <v>139</v>
      </c>
      <c r="K41" s="161" t="s">
        <v>140</v>
      </c>
    </row>
    <row r="42" spans="1:20" x14ac:dyDescent="0.25">
      <c r="A42" s="26" t="s">
        <v>20</v>
      </c>
      <c r="B42" s="39">
        <f>E35</f>
        <v>3141.02</v>
      </c>
      <c r="D42" s="39" t="s">
        <v>5</v>
      </c>
      <c r="E42" s="111">
        <f>M35</f>
        <v>60560.924000000006</v>
      </c>
      <c r="F42"/>
      <c r="G42" s="39" t="s">
        <v>5</v>
      </c>
      <c r="H42" s="111">
        <f>E42</f>
        <v>60560.924000000006</v>
      </c>
      <c r="J42" s="161" t="s">
        <v>141</v>
      </c>
      <c r="K42" s="161" t="s">
        <v>142</v>
      </c>
    </row>
    <row r="43" spans="1:20" x14ac:dyDescent="0.25">
      <c r="A43" s="26" t="s">
        <v>22</v>
      </c>
      <c r="B43" s="39">
        <f>SUM(B39:B42)</f>
        <v>765689.43763364211</v>
      </c>
      <c r="D43" s="39" t="s">
        <v>18</v>
      </c>
      <c r="E43" s="111">
        <f>K35</f>
        <v>658400.75114283664</v>
      </c>
      <c r="F43"/>
      <c r="G43" s="39" t="s">
        <v>18</v>
      </c>
      <c r="H43" s="111">
        <f>E43</f>
        <v>658400.75114283664</v>
      </c>
      <c r="J43" s="161" t="s">
        <v>143</v>
      </c>
      <c r="K43" s="161" t="s">
        <v>144</v>
      </c>
    </row>
    <row r="44" spans="1:20" x14ac:dyDescent="0.25">
      <c r="D44" s="39" t="s">
        <v>42</v>
      </c>
      <c r="E44" s="111">
        <f>B43-E45</f>
        <v>-102301.63560604397</v>
      </c>
      <c r="F44"/>
      <c r="G44" s="39" t="s">
        <v>42</v>
      </c>
      <c r="H44" s="111">
        <f>B43-H45</f>
        <v>-102301.63560604397</v>
      </c>
      <c r="J44" s="161" t="s">
        <v>5</v>
      </c>
      <c r="K44" s="161" t="s">
        <v>145</v>
      </c>
    </row>
    <row r="45" spans="1:20" x14ac:dyDescent="0.25">
      <c r="D45" s="103" t="s">
        <v>22</v>
      </c>
      <c r="E45" s="111">
        <f>SUM(E39:E43)</f>
        <v>867991.07323968608</v>
      </c>
      <c r="F45"/>
      <c r="G45" s="103" t="s">
        <v>22</v>
      </c>
      <c r="H45" s="111">
        <f>SUM(H39:H43)</f>
        <v>867991.07323968608</v>
      </c>
      <c r="J45" s="5" t="s">
        <v>146</v>
      </c>
      <c r="K45" s="161" t="s">
        <v>147</v>
      </c>
    </row>
    <row r="46" spans="1:20" x14ac:dyDescent="0.25">
      <c r="J46" s="5" t="s">
        <v>148</v>
      </c>
      <c r="K46" s="161" t="s">
        <v>149</v>
      </c>
    </row>
    <row r="47" spans="1:20" x14ac:dyDescent="0.25">
      <c r="J47" s="5" t="s">
        <v>150</v>
      </c>
      <c r="K47" s="161" t="s">
        <v>151</v>
      </c>
    </row>
    <row r="48" spans="1:20" x14ac:dyDescent="0.25">
      <c r="J48" s="125" t="s">
        <v>152</v>
      </c>
      <c r="K48" s="125" t="s">
        <v>153</v>
      </c>
    </row>
    <row r="49" spans="10:11" x14ac:dyDescent="0.25">
      <c r="J49" s="125" t="s">
        <v>154</v>
      </c>
      <c r="K49" s="125" t="s">
        <v>155</v>
      </c>
    </row>
  </sheetData>
  <mergeCells count="1">
    <mergeCell ref="A6:A7"/>
  </mergeCells>
  <printOptions gridLines="1"/>
  <pageMargins left="0.7" right="0.7" top="0.75" bottom="0.75" header="0.3" footer="0.3"/>
  <pageSetup scale="20" orientation="portrait" horizontalDpi="1200" verticalDpi="1200" r:id="rId1"/>
  <ignoredErrors>
    <ignoredError sqref="H4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  <pageSetUpPr fitToPage="1"/>
  </sheetPr>
  <dimension ref="A1:AA62"/>
  <sheetViews>
    <sheetView showGridLines="0" topLeftCell="A7" zoomScale="70" zoomScaleNormal="70" workbookViewId="0">
      <selection activeCell="A35" sqref="A35"/>
    </sheetView>
  </sheetViews>
  <sheetFormatPr defaultColWidth="9.140625" defaultRowHeight="15" x14ac:dyDescent="0.25"/>
  <cols>
    <col min="1" max="1" width="9.7109375" style="6" customWidth="1"/>
    <col min="2" max="4" width="27.42578125" style="6" customWidth="1"/>
    <col min="5" max="5" width="19.28515625" style="6" bestFit="1" customWidth="1"/>
    <col min="6" max="6" width="21" style="6" bestFit="1" customWidth="1"/>
    <col min="7" max="7" width="31.28515625" customWidth="1"/>
    <col min="8" max="8" width="22.85546875" style="1" customWidth="1"/>
    <col min="9" max="9" width="19.140625" style="1" customWidth="1"/>
    <col min="10" max="10" width="9.140625" style="6"/>
    <col min="11" max="11" width="33.7109375" customWidth="1"/>
    <col min="12" max="12" width="33.7109375" style="126" customWidth="1"/>
    <col min="13" max="14" width="26.5703125" customWidth="1"/>
    <col min="15" max="15" width="26.5703125" style="52" customWidth="1"/>
    <col min="16" max="16" width="28" customWidth="1"/>
    <col min="17" max="18" width="27.5703125" customWidth="1"/>
    <col min="19" max="19" width="19" customWidth="1"/>
    <col min="20" max="21" width="26.85546875" customWidth="1"/>
    <col min="22" max="22" width="26.85546875" bestFit="1" customWidth="1"/>
    <col min="23" max="23" width="35.85546875" customWidth="1"/>
    <col min="24" max="24" width="24.85546875" bestFit="1" customWidth="1"/>
    <col min="25" max="25" width="27.7109375" bestFit="1" customWidth="1"/>
    <col min="26" max="26" width="8.85546875"/>
    <col min="27" max="27" width="11.140625" bestFit="1" customWidth="1"/>
    <col min="28" max="28" width="9.140625" style="6"/>
    <col min="29" max="29" width="8.28515625" style="6" bestFit="1" customWidth="1"/>
    <col min="30" max="30" width="32.5703125" style="6" bestFit="1" customWidth="1"/>
    <col min="31" max="31" width="8.28515625" style="6" bestFit="1" customWidth="1"/>
    <col min="32" max="16384" width="9.140625" style="6"/>
  </cols>
  <sheetData>
    <row r="1" spans="1:27" x14ac:dyDescent="0.25">
      <c r="A1" s="6" t="s">
        <v>108</v>
      </c>
      <c r="B1" s="162">
        <v>43262</v>
      </c>
      <c r="G1" s="161"/>
      <c r="H1" s="127"/>
      <c r="I1" s="127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x14ac:dyDescent="0.25">
      <c r="A2" s="6" t="s">
        <v>109</v>
      </c>
      <c r="B2" s="6" t="s">
        <v>110</v>
      </c>
      <c r="G2" s="161"/>
      <c r="H2" s="127"/>
      <c r="I2" s="127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x14ac:dyDescent="0.25">
      <c r="A3" s="6" t="s">
        <v>30</v>
      </c>
      <c r="G3" s="20"/>
      <c r="H3" s="20"/>
      <c r="I3" s="20"/>
      <c r="J3"/>
    </row>
    <row r="4" spans="1:27" x14ac:dyDescent="0.25">
      <c r="A4" s="6" t="s">
        <v>23</v>
      </c>
      <c r="G4" s="21"/>
      <c r="H4" s="22"/>
      <c r="I4" s="22"/>
      <c r="J4"/>
    </row>
    <row r="5" spans="1:27" s="10" customFormat="1" ht="15" customHeight="1" x14ac:dyDescent="0.25">
      <c r="E5" s="13"/>
      <c r="F5" s="20"/>
      <c r="G5" s="24"/>
      <c r="H5" s="1"/>
      <c r="I5" s="13"/>
      <c r="J5" s="31"/>
      <c r="L5" s="139"/>
      <c r="M5" s="139"/>
      <c r="N5" s="139"/>
      <c r="O5" s="135"/>
      <c r="Q5" s="25"/>
      <c r="R5" s="25"/>
      <c r="S5"/>
      <c r="T5"/>
      <c r="U5"/>
      <c r="V5"/>
      <c r="W5"/>
      <c r="X5"/>
      <c r="Y5"/>
      <c r="Z5"/>
      <c r="AA5"/>
    </row>
    <row r="6" spans="1:27" s="10" customFormat="1" ht="30" x14ac:dyDescent="0.25">
      <c r="A6" s="185" t="s">
        <v>1</v>
      </c>
      <c r="B6" s="163" t="s">
        <v>129</v>
      </c>
      <c r="C6" s="163" t="s">
        <v>130</v>
      </c>
      <c r="D6" s="163" t="s">
        <v>98</v>
      </c>
      <c r="E6" s="164" t="s">
        <v>11</v>
      </c>
      <c r="F6" s="130"/>
      <c r="G6" s="163" t="s">
        <v>118</v>
      </c>
      <c r="H6" s="164" t="s">
        <v>93</v>
      </c>
      <c r="I6" s="163" t="s">
        <v>56</v>
      </c>
      <c r="J6" s="180"/>
      <c r="K6" s="166" t="s">
        <v>12</v>
      </c>
      <c r="L6" s="166" t="s">
        <v>95</v>
      </c>
      <c r="M6" s="166" t="s">
        <v>82</v>
      </c>
      <c r="N6" s="166" t="s">
        <v>44</v>
      </c>
      <c r="O6" s="166" t="s">
        <v>18</v>
      </c>
      <c r="P6" s="181"/>
      <c r="Q6" s="166" t="s">
        <v>6</v>
      </c>
      <c r="R6" s="166" t="s">
        <v>7</v>
      </c>
      <c r="S6" s="138"/>
      <c r="T6" s="166" t="s">
        <v>36</v>
      </c>
      <c r="U6" s="166" t="s">
        <v>37</v>
      </c>
      <c r="V6"/>
      <c r="W6"/>
      <c r="X6"/>
      <c r="Y6"/>
      <c r="Z6"/>
      <c r="AA6"/>
    </row>
    <row r="7" spans="1:27" s="10" customForma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30"/>
      <c r="G7" s="164" t="s">
        <v>8</v>
      </c>
      <c r="H7" s="164" t="s">
        <v>8</v>
      </c>
      <c r="I7" s="164" t="s">
        <v>8</v>
      </c>
      <c r="J7" s="180"/>
      <c r="K7" s="164" t="s">
        <v>8</v>
      </c>
      <c r="L7" s="164" t="s">
        <v>97</v>
      </c>
      <c r="M7" s="164" t="s">
        <v>8</v>
      </c>
      <c r="N7" s="164"/>
      <c r="O7" s="164" t="s">
        <v>8</v>
      </c>
      <c r="P7" s="181"/>
      <c r="Q7" s="174" t="s">
        <v>8</v>
      </c>
      <c r="R7" s="174" t="s">
        <v>8</v>
      </c>
      <c r="S7" s="138"/>
      <c r="T7" s="174" t="s">
        <v>8</v>
      </c>
      <c r="U7" s="174" t="s">
        <v>8</v>
      </c>
      <c r="V7"/>
      <c r="W7"/>
      <c r="X7"/>
      <c r="Y7"/>
      <c r="Z7"/>
      <c r="AA7"/>
    </row>
    <row r="8" spans="1:27" x14ac:dyDescent="0.25">
      <c r="A8" s="38">
        <v>1988</v>
      </c>
      <c r="B8" s="146">
        <f>'[1]Capped Flow'!U7</f>
        <v>146842.74000000002</v>
      </c>
      <c r="C8" s="146">
        <f>'[1]Capped Flow'!V7</f>
        <v>151782.84000000005</v>
      </c>
      <c r="D8" s="146">
        <f t="shared" ref="D8:D32" si="0">C8-B8</f>
        <v>4940.1000000000349</v>
      </c>
      <c r="E8" s="43">
        <f>'[2]GW Depletions'!W15</f>
        <v>38686.163164600548</v>
      </c>
      <c r="G8" s="146">
        <f t="shared" ref="G8:G32" si="1">SUM(D8:E8)</f>
        <v>43626.263164600583</v>
      </c>
      <c r="H8" s="152">
        <f>'[3]Req Inflow'!O7</f>
        <v>0</v>
      </c>
      <c r="I8" s="146">
        <f t="shared" ref="I8:I32" si="2">G8+H8</f>
        <v>43626.263164600583</v>
      </c>
      <c r="K8" s="43">
        <f>MAX([2]GWCU!M12*0.3,E8)</f>
        <v>96589.655700000309</v>
      </c>
      <c r="L8" s="43">
        <f>'[2]M&amp;I COHYST Summary'!G36</f>
        <v>2334.29</v>
      </c>
      <c r="M8" s="43">
        <f>IF('[3]DS Demand'!S7&gt;0,'[3]DS Demand'!S7,0)</f>
        <v>25732.575928234193</v>
      </c>
      <c r="N8" s="43">
        <f>'[4]Instream Applied Duncan'!J7</f>
        <v>0</v>
      </c>
      <c r="O8" s="43">
        <f t="shared" ref="O8:O32" si="3">MAX(M8,N8)</f>
        <v>25732.575928234193</v>
      </c>
      <c r="P8" s="19"/>
      <c r="Q8" s="62">
        <f t="shared" ref="Q8:Q32" si="4">E8+O8+L8</f>
        <v>66753.029092834739</v>
      </c>
      <c r="R8" s="62">
        <f>K8+O8+L8</f>
        <v>124656.52162823449</v>
      </c>
      <c r="T8" s="150">
        <f t="shared" ref="T8:T32" si="5">$I8-Q8</f>
        <v>-23126.765928234156</v>
      </c>
      <c r="U8" s="150">
        <f t="shared" ref="U8:U32" si="6">$I8-R8</f>
        <v>-81030.258463633916</v>
      </c>
    </row>
    <row r="9" spans="1:27" x14ac:dyDescent="0.25">
      <c r="A9" s="38">
        <v>1989</v>
      </c>
      <c r="B9" s="146">
        <f>'[1]Capped Flow'!U8</f>
        <v>163490.57999999999</v>
      </c>
      <c r="C9" s="146">
        <f>'[1]Capped Flow'!V8</f>
        <v>172798.56</v>
      </c>
      <c r="D9" s="146">
        <f t="shared" si="0"/>
        <v>9307.9800000000105</v>
      </c>
      <c r="E9" s="43">
        <f>'[2]GW Depletions'!W16</f>
        <v>43669.715557851232</v>
      </c>
      <c r="G9" s="146">
        <f t="shared" si="1"/>
        <v>52977.695557851242</v>
      </c>
      <c r="H9" s="152">
        <f>'[3]Req Inflow'!O8</f>
        <v>0</v>
      </c>
      <c r="I9" s="146">
        <f t="shared" si="2"/>
        <v>52977.695557851242</v>
      </c>
      <c r="K9" s="43">
        <f>MAX([2]GWCU!M13*0.3,E9)</f>
        <v>86202.039844999832</v>
      </c>
      <c r="L9" s="43">
        <f>'[2]M&amp;I COHYST Summary'!G37</f>
        <v>2391.3399999999997</v>
      </c>
      <c r="M9" s="43">
        <f>IF('[3]DS Demand'!S8&gt;0,'[3]DS Demand'!S8,0)</f>
        <v>40339.374992938392</v>
      </c>
      <c r="N9" s="43">
        <f>'[4]Instream Applied Duncan'!J8</f>
        <v>0</v>
      </c>
      <c r="O9" s="43">
        <f t="shared" si="3"/>
        <v>40339.374992938392</v>
      </c>
      <c r="P9" s="19"/>
      <c r="Q9" s="62">
        <f t="shared" si="4"/>
        <v>86400.430550789621</v>
      </c>
      <c r="R9" s="62">
        <f t="shared" ref="R9:R32" si="7">K9+O9+L9</f>
        <v>128932.75483793822</v>
      </c>
      <c r="T9" s="150">
        <f t="shared" si="5"/>
        <v>-33422.734992938378</v>
      </c>
      <c r="U9" s="150">
        <f t="shared" si="6"/>
        <v>-75955.059280086978</v>
      </c>
    </row>
    <row r="10" spans="1:27" x14ac:dyDescent="0.25">
      <c r="A10" s="38">
        <v>1990</v>
      </c>
      <c r="B10" s="146">
        <f>'[1]Capped Flow'!U9</f>
        <v>84947.940000000017</v>
      </c>
      <c r="C10" s="146">
        <f>'[1]Capped Flow'!V9</f>
        <v>129771.18000000001</v>
      </c>
      <c r="D10" s="146">
        <f t="shared" si="0"/>
        <v>44823.239999999991</v>
      </c>
      <c r="E10" s="43">
        <f>'[2]GW Depletions'!W17</f>
        <v>42763.03510674931</v>
      </c>
      <c r="G10" s="146">
        <f t="shared" si="1"/>
        <v>87586.275106749294</v>
      </c>
      <c r="H10" s="152">
        <f>'[3]Req Inflow'!O9</f>
        <v>0</v>
      </c>
      <c r="I10" s="146">
        <f t="shared" si="2"/>
        <v>87586.275106749294</v>
      </c>
      <c r="K10" s="43">
        <f>MAX([2]GWCU!M14*0.3,E10)</f>
        <v>72383.3566075001</v>
      </c>
      <c r="L10" s="43">
        <f>'[2]M&amp;I COHYST Summary'!G38</f>
        <v>2410.3999999999992</v>
      </c>
      <c r="M10" s="43">
        <f>IF('[3]DS Demand'!S9&gt;0,'[3]DS Demand'!S9,0)</f>
        <v>78307.666200898908</v>
      </c>
      <c r="N10" s="43">
        <f>'[4]Instream Applied Duncan'!J9</f>
        <v>0</v>
      </c>
      <c r="O10" s="43">
        <f t="shared" si="3"/>
        <v>78307.666200898908</v>
      </c>
      <c r="P10" s="19"/>
      <c r="Q10" s="62">
        <f t="shared" si="4"/>
        <v>123481.1013076482</v>
      </c>
      <c r="R10" s="62">
        <f t="shared" si="7"/>
        <v>153101.42280839899</v>
      </c>
      <c r="T10" s="150">
        <f t="shared" si="5"/>
        <v>-35894.826200898911</v>
      </c>
      <c r="U10" s="150">
        <f t="shared" si="6"/>
        <v>-65515.147701649694</v>
      </c>
    </row>
    <row r="11" spans="1:27" x14ac:dyDescent="0.25">
      <c r="A11" s="38">
        <v>1991</v>
      </c>
      <c r="B11" s="146">
        <f>'[1]Capped Flow'!U10</f>
        <v>100905.94800000003</v>
      </c>
      <c r="C11" s="146">
        <f>'[1]Capped Flow'!V10</f>
        <v>177858.80640000009</v>
      </c>
      <c r="D11" s="146">
        <f t="shared" si="0"/>
        <v>76952.858400000056</v>
      </c>
      <c r="E11" s="43">
        <f>'[2]GW Depletions'!W18</f>
        <v>40137.54918273646</v>
      </c>
      <c r="G11" s="146">
        <f t="shared" si="1"/>
        <v>117090.40758273652</v>
      </c>
      <c r="H11" s="152">
        <f>'[3]Req Inflow'!O10</f>
        <v>0</v>
      </c>
      <c r="I11" s="146">
        <f t="shared" si="2"/>
        <v>117090.40758273652</v>
      </c>
      <c r="K11" s="43">
        <f>MAX([2]GWCU!M15*0.3,E11)</f>
        <v>77843.876832500056</v>
      </c>
      <c r="L11" s="43">
        <f>'[2]M&amp;I COHYST Summary'!G39</f>
        <v>2242.4700000000003</v>
      </c>
      <c r="M11" s="43">
        <f>IF('[3]DS Demand'!S10&gt;0,'[3]DS Demand'!S10,0)</f>
        <v>71923.236163684982</v>
      </c>
      <c r="N11" s="43">
        <f>'[4]Instream Applied Duncan'!J10</f>
        <v>0</v>
      </c>
      <c r="O11" s="43">
        <f t="shared" si="3"/>
        <v>71923.236163684982</v>
      </c>
      <c r="P11" s="19"/>
      <c r="Q11" s="62">
        <f t="shared" si="4"/>
        <v>114303.25534642144</v>
      </c>
      <c r="R11" s="62">
        <f t="shared" si="7"/>
        <v>152009.58299618502</v>
      </c>
      <c r="T11" s="150">
        <f t="shared" si="5"/>
        <v>2787.1522363150725</v>
      </c>
      <c r="U11" s="150">
        <f t="shared" si="6"/>
        <v>-34919.175413448509</v>
      </c>
    </row>
    <row r="12" spans="1:27" x14ac:dyDescent="0.25">
      <c r="A12" s="38">
        <v>1992</v>
      </c>
      <c r="B12" s="146">
        <f>'[1]Capped Flow'!U11</f>
        <v>110442.42000000004</v>
      </c>
      <c r="C12" s="146">
        <f>'[1]Capped Flow'!V11</f>
        <v>198617.75999999998</v>
      </c>
      <c r="D12" s="146">
        <f t="shared" si="0"/>
        <v>88175.339999999938</v>
      </c>
      <c r="E12" s="43">
        <f>'[2]GW Depletions'!W19</f>
        <v>37150.472097107442</v>
      </c>
      <c r="G12" s="146">
        <f t="shared" si="1"/>
        <v>125325.81209710738</v>
      </c>
      <c r="H12" s="152">
        <f>'[3]Req Inflow'!O11</f>
        <v>17823.468854226208</v>
      </c>
      <c r="I12" s="146">
        <f t="shared" si="2"/>
        <v>143149.28095133358</v>
      </c>
      <c r="K12" s="43">
        <f>MAX([2]GWCU!M16*0.3,E12)</f>
        <v>65468.725092500099</v>
      </c>
      <c r="L12" s="43">
        <f>'[2]M&amp;I COHYST Summary'!G40</f>
        <v>2244.5700000000011</v>
      </c>
      <c r="M12" s="43">
        <f>IF('[3]DS Demand'!S11&gt;0,'[3]DS Demand'!S11,0)</f>
        <v>58623.669673396718</v>
      </c>
      <c r="N12" s="43">
        <f>'[4]Instream Applied Duncan'!J11</f>
        <v>24364.868799177086</v>
      </c>
      <c r="O12" s="43">
        <f t="shared" si="3"/>
        <v>58623.669673396718</v>
      </c>
      <c r="P12" s="19"/>
      <c r="Q12" s="62">
        <f t="shared" si="4"/>
        <v>98018.71177050416</v>
      </c>
      <c r="R12" s="62">
        <f t="shared" si="7"/>
        <v>126336.96476589682</v>
      </c>
      <c r="T12" s="150">
        <f t="shared" si="5"/>
        <v>45130.569180829421</v>
      </c>
      <c r="U12" s="150">
        <f t="shared" si="6"/>
        <v>16812.316185436764</v>
      </c>
    </row>
    <row r="13" spans="1:27" x14ac:dyDescent="0.25">
      <c r="A13" s="38">
        <v>1993</v>
      </c>
      <c r="B13" s="146">
        <f>'[1]Capped Flow'!U12</f>
        <v>303308.2799999998</v>
      </c>
      <c r="C13" s="146">
        <f>'[1]Capped Flow'!V12</f>
        <v>552124.9800000001</v>
      </c>
      <c r="D13" s="146">
        <f t="shared" si="0"/>
        <v>248816.7000000003</v>
      </c>
      <c r="E13" s="43">
        <f>'[2]GW Depletions'!W20</f>
        <v>34557.528820018364</v>
      </c>
      <c r="G13" s="146">
        <f t="shared" si="1"/>
        <v>283374.22882001864</v>
      </c>
      <c r="H13" s="152">
        <f>'[3]Req Inflow'!O12</f>
        <v>68857.137556744507</v>
      </c>
      <c r="I13" s="146">
        <f t="shared" si="2"/>
        <v>352231.36637676315</v>
      </c>
      <c r="K13" s="43">
        <f>MAX([2]GWCU!M17*0.3,E13)</f>
        <v>46465.9993924999</v>
      </c>
      <c r="L13" s="43">
        <f>'[2]M&amp;I COHYST Summary'!G41</f>
        <v>2262.8500000000013</v>
      </c>
      <c r="M13" s="43">
        <f>IF('[3]DS Demand'!S12&gt;0,'[3]DS Demand'!S12,0)</f>
        <v>99524.954364203964</v>
      </c>
      <c r="N13" s="43">
        <f>'[4]Instream Applied Duncan'!J12</f>
        <v>99524.954364203964</v>
      </c>
      <c r="O13" s="43">
        <f t="shared" si="3"/>
        <v>99524.954364203964</v>
      </c>
      <c r="P13" s="19"/>
      <c r="Q13" s="62">
        <f t="shared" si="4"/>
        <v>136345.33318422234</v>
      </c>
      <c r="R13" s="62">
        <f t="shared" si="7"/>
        <v>148253.80375670388</v>
      </c>
      <c r="T13" s="150">
        <f t="shared" si="5"/>
        <v>215886.03319254081</v>
      </c>
      <c r="U13" s="150">
        <f t="shared" si="6"/>
        <v>203977.56262005927</v>
      </c>
    </row>
    <row r="14" spans="1:27" x14ac:dyDescent="0.25">
      <c r="A14" s="38">
        <v>1994</v>
      </c>
      <c r="B14" s="146">
        <f>'[1]Capped Flow'!U13</f>
        <v>159455.33999999994</v>
      </c>
      <c r="C14" s="146">
        <f>'[1]Capped Flow'!V13</f>
        <v>188531.63999999996</v>
      </c>
      <c r="D14" s="146">
        <f t="shared" si="0"/>
        <v>29076.300000000017</v>
      </c>
      <c r="E14" s="43">
        <f>'[2]GW Depletions'!W21</f>
        <v>36923.611238521582</v>
      </c>
      <c r="G14" s="146">
        <f t="shared" si="1"/>
        <v>65999.911238521599</v>
      </c>
      <c r="H14" s="152">
        <f>'[3]Req Inflow'!O13</f>
        <v>0</v>
      </c>
      <c r="I14" s="146">
        <f t="shared" si="2"/>
        <v>65999.911238521599</v>
      </c>
      <c r="K14" s="43">
        <f>MAX([2]GWCU!M18*0.3,E14)</f>
        <v>81406.57444499986</v>
      </c>
      <c r="L14" s="43">
        <f>'[2]M&amp;I COHYST Summary'!G42</f>
        <v>2258.0100000000002</v>
      </c>
      <c r="M14" s="43">
        <f>IF('[3]DS Demand'!S13&gt;0,'[3]DS Demand'!S13,0)</f>
        <v>35353.111164494374</v>
      </c>
      <c r="N14" s="43">
        <f>'[4]Instream Applied Duncan'!J13</f>
        <v>0</v>
      </c>
      <c r="O14" s="43">
        <f t="shared" si="3"/>
        <v>35353.111164494374</v>
      </c>
      <c r="P14" s="19"/>
      <c r="Q14" s="62">
        <f t="shared" si="4"/>
        <v>74534.732403015951</v>
      </c>
      <c r="R14" s="62">
        <f t="shared" si="7"/>
        <v>119017.69560949423</v>
      </c>
      <c r="T14" s="150">
        <f t="shared" si="5"/>
        <v>-8534.8211644943513</v>
      </c>
      <c r="U14" s="150">
        <f t="shared" si="6"/>
        <v>-53017.784370972629</v>
      </c>
    </row>
    <row r="15" spans="1:27" x14ac:dyDescent="0.25">
      <c r="A15" s="38">
        <v>1995</v>
      </c>
      <c r="B15" s="146">
        <f>'[1]Capped Flow'!U14</f>
        <v>668911.320000001</v>
      </c>
      <c r="C15" s="146">
        <f>'[1]Capped Flow'!V14</f>
        <v>754609.67999999935</v>
      </c>
      <c r="D15" s="146">
        <f t="shared" si="0"/>
        <v>85698.359999998356</v>
      </c>
      <c r="E15" s="43">
        <f>'[2]GW Depletions'!W22</f>
        <v>41301.589369834706</v>
      </c>
      <c r="G15" s="146">
        <f t="shared" si="1"/>
        <v>126999.94936983306</v>
      </c>
      <c r="H15" s="152">
        <f>'[3]Req Inflow'!O14</f>
        <v>0</v>
      </c>
      <c r="I15" s="146">
        <f t="shared" si="2"/>
        <v>126999.94936983306</v>
      </c>
      <c r="K15" s="43">
        <f>MAX([2]GWCU!M19*0.3,E15)</f>
        <v>89030.57057999965</v>
      </c>
      <c r="L15" s="43">
        <f>'[2]M&amp;I COHYST Summary'!G43</f>
        <v>2299.0099999999998</v>
      </c>
      <c r="M15" s="43">
        <f>IF('[3]DS Demand'!S14&gt;0,'[3]DS Demand'!S14,0)</f>
        <v>24642.467709153443</v>
      </c>
      <c r="N15" s="43">
        <f>'[4]Instream Applied Duncan'!J14</f>
        <v>0</v>
      </c>
      <c r="O15" s="43">
        <f t="shared" si="3"/>
        <v>24642.467709153443</v>
      </c>
      <c r="P15" s="19"/>
      <c r="Q15" s="62">
        <f t="shared" si="4"/>
        <v>68243.067078988141</v>
      </c>
      <c r="R15" s="62">
        <f t="shared" si="7"/>
        <v>115972.04828915308</v>
      </c>
      <c r="T15" s="150">
        <f t="shared" si="5"/>
        <v>58756.882290844922</v>
      </c>
      <c r="U15" s="150">
        <f t="shared" si="6"/>
        <v>11027.901080679978</v>
      </c>
    </row>
    <row r="16" spans="1:27" x14ac:dyDescent="0.25">
      <c r="A16" s="38">
        <v>1996</v>
      </c>
      <c r="B16" s="146">
        <f>'[1]Capped Flow'!U15</f>
        <v>412234.02000000014</v>
      </c>
      <c r="C16" s="146">
        <f>'[1]Capped Flow'!V15</f>
        <v>442642.86000000004</v>
      </c>
      <c r="D16" s="146">
        <f t="shared" si="0"/>
        <v>30408.839999999909</v>
      </c>
      <c r="E16" s="43">
        <f>'[2]GW Depletions'!W23</f>
        <v>38593.927896005509</v>
      </c>
      <c r="G16" s="146">
        <f t="shared" si="1"/>
        <v>69002.767896005418</v>
      </c>
      <c r="H16" s="152">
        <f>'[3]Req Inflow'!O15</f>
        <v>67516.34844862578</v>
      </c>
      <c r="I16" s="146">
        <f t="shared" si="2"/>
        <v>136519.11634463118</v>
      </c>
      <c r="K16" s="43">
        <f>MAX([2]GWCU!M20*0.3,E16)</f>
        <v>60502.941420000017</v>
      </c>
      <c r="L16" s="43">
        <f>'[2]M&amp;I COHYST Summary'!G44</f>
        <v>2325.0800000000008</v>
      </c>
      <c r="M16" s="43">
        <f>IF('[3]DS Demand'!S15&gt;0,'[3]DS Demand'!S15,0)</f>
        <v>74007.189812021985</v>
      </c>
      <c r="N16" s="43">
        <f>'[4]Instream Applied Duncan'!J15</f>
        <v>74007.189812021985</v>
      </c>
      <c r="O16" s="43">
        <f t="shared" si="3"/>
        <v>74007.189812021985</v>
      </c>
      <c r="P16" s="19"/>
      <c r="Q16" s="62">
        <f t="shared" si="4"/>
        <v>114926.1977080275</v>
      </c>
      <c r="R16" s="62">
        <f t="shared" si="7"/>
        <v>136835.211232022</v>
      </c>
      <c r="T16" s="150">
        <f t="shared" si="5"/>
        <v>21592.918636603688</v>
      </c>
      <c r="U16" s="150">
        <f t="shared" si="6"/>
        <v>-316.09488739082008</v>
      </c>
    </row>
    <row r="17" spans="1:21" x14ac:dyDescent="0.25">
      <c r="A17" s="38">
        <v>1997</v>
      </c>
      <c r="B17" s="146">
        <f>'[1]Capped Flow'!U16</f>
        <v>438740.28000000009</v>
      </c>
      <c r="C17" s="146">
        <f>'[1]Capped Flow'!V16</f>
        <v>472085.46000000008</v>
      </c>
      <c r="D17" s="146">
        <f t="shared" si="0"/>
        <v>33345.179999999993</v>
      </c>
      <c r="E17" s="43">
        <f>'[2]GW Depletions'!W24</f>
        <v>38137.6866402663</v>
      </c>
      <c r="G17" s="146">
        <f t="shared" si="1"/>
        <v>71482.866640266293</v>
      </c>
      <c r="H17" s="152">
        <f>'[3]Req Inflow'!O16</f>
        <v>0</v>
      </c>
      <c r="I17" s="146">
        <f t="shared" si="2"/>
        <v>71482.866640266293</v>
      </c>
      <c r="K17" s="43">
        <f>MAX([2]GWCU!M21*0.3,E17)</f>
        <v>78047.864672500131</v>
      </c>
      <c r="L17" s="43">
        <f>'[2]M&amp;I COHYST Summary'!G45</f>
        <v>2364.4599999999996</v>
      </c>
      <c r="M17" s="43">
        <f>IF('[3]DS Demand'!S16&gt;0,'[3]DS Demand'!S16,0)</f>
        <v>17416.485933358643</v>
      </c>
      <c r="N17" s="43">
        <f>'[4]Instream Applied Duncan'!J16</f>
        <v>0</v>
      </c>
      <c r="O17" s="43">
        <f t="shared" si="3"/>
        <v>17416.485933358643</v>
      </c>
      <c r="P17" s="19"/>
      <c r="Q17" s="62">
        <f t="shared" si="4"/>
        <v>57918.632573624942</v>
      </c>
      <c r="R17" s="62">
        <f t="shared" si="7"/>
        <v>97828.810605858787</v>
      </c>
      <c r="T17" s="150">
        <f t="shared" si="5"/>
        <v>13564.234066641351</v>
      </c>
      <c r="U17" s="150">
        <f t="shared" si="6"/>
        <v>-26345.943965592494</v>
      </c>
    </row>
    <row r="18" spans="1:21" x14ac:dyDescent="0.25">
      <c r="A18" s="38">
        <v>1998</v>
      </c>
      <c r="B18" s="146">
        <f>'[1]Capped Flow'!U17</f>
        <v>332010.36</v>
      </c>
      <c r="C18" s="146">
        <f>'[1]Capped Flow'!V17</f>
        <v>421654.85999999993</v>
      </c>
      <c r="D18" s="146">
        <f t="shared" si="0"/>
        <v>89644.499999999942</v>
      </c>
      <c r="E18" s="43">
        <f>'[2]GW Depletions'!W25</f>
        <v>35674.511572543619</v>
      </c>
      <c r="G18" s="146">
        <f t="shared" si="1"/>
        <v>125319.01157254356</v>
      </c>
      <c r="H18" s="152">
        <f>'[3]Req Inflow'!O17</f>
        <v>13783.174684412357</v>
      </c>
      <c r="I18" s="146">
        <f t="shared" si="2"/>
        <v>139102.18625695593</v>
      </c>
      <c r="K18" s="43">
        <f>MAX([2]GWCU!M22*0.3,E18)</f>
        <v>59249.074192499866</v>
      </c>
      <c r="L18" s="43">
        <f>'[2]M&amp;I COHYST Summary'!G46</f>
        <v>2396.3000000000002</v>
      </c>
      <c r="M18" s="43">
        <f>IF('[3]DS Demand'!S17&gt;0,'[3]DS Demand'!S17,0)</f>
        <v>48999.572781998766</v>
      </c>
      <c r="N18" s="43">
        <f>'[4]Instream Applied Duncan'!J17</f>
        <v>17272.797222720023</v>
      </c>
      <c r="O18" s="43">
        <f t="shared" si="3"/>
        <v>48999.572781998766</v>
      </c>
      <c r="P18" s="19"/>
      <c r="Q18" s="62">
        <f t="shared" si="4"/>
        <v>87070.384354542388</v>
      </c>
      <c r="R18" s="62">
        <f t="shared" si="7"/>
        <v>110644.94697449864</v>
      </c>
      <c r="T18" s="150">
        <f t="shared" si="5"/>
        <v>52031.801902413543</v>
      </c>
      <c r="U18" s="150">
        <f t="shared" si="6"/>
        <v>28457.239282457289</v>
      </c>
    </row>
    <row r="19" spans="1:21" x14ac:dyDescent="0.25">
      <c r="A19" s="38">
        <v>1999</v>
      </c>
      <c r="B19" s="146">
        <f>'[1]Capped Flow'!U18</f>
        <v>610275.60000000068</v>
      </c>
      <c r="C19" s="146">
        <f>'[1]Capped Flow'!V18</f>
        <v>736698.59999999928</v>
      </c>
      <c r="D19" s="146">
        <f t="shared" si="0"/>
        <v>126422.9999999986</v>
      </c>
      <c r="E19" s="43">
        <f>'[2]GW Depletions'!W26</f>
        <v>35443.966714876035</v>
      </c>
      <c r="G19" s="146">
        <f t="shared" si="1"/>
        <v>161866.96671487464</v>
      </c>
      <c r="H19" s="152">
        <f>'[3]Req Inflow'!O18</f>
        <v>44436.018076625936</v>
      </c>
      <c r="I19" s="146">
        <f t="shared" si="2"/>
        <v>206302.98479150058</v>
      </c>
      <c r="K19" s="43">
        <f>MAX([2]GWCU!M23*0.3,E19)</f>
        <v>64426.584870000028</v>
      </c>
      <c r="L19" s="43">
        <f>'[2]M&amp;I COHYST Summary'!G47</f>
        <v>2423.4699999999993</v>
      </c>
      <c r="M19" s="43">
        <f>IF('[3]DS Demand'!S18&gt;0,'[3]DS Demand'!S18,0)</f>
        <v>51231.797613249044</v>
      </c>
      <c r="N19" s="43">
        <f>'[4]Instream Applied Duncan'!J18</f>
        <v>51231.797613249044</v>
      </c>
      <c r="O19" s="43">
        <f t="shared" si="3"/>
        <v>51231.797613249044</v>
      </c>
      <c r="P19" s="19"/>
      <c r="Q19" s="62">
        <f t="shared" si="4"/>
        <v>89099.23432812508</v>
      </c>
      <c r="R19" s="62">
        <f t="shared" si="7"/>
        <v>118081.85248324907</v>
      </c>
      <c r="T19" s="150">
        <f t="shared" si="5"/>
        <v>117203.7504633755</v>
      </c>
      <c r="U19" s="150">
        <f t="shared" si="6"/>
        <v>88221.132308251515</v>
      </c>
    </row>
    <row r="20" spans="1:21" x14ac:dyDescent="0.25">
      <c r="A20" s="38">
        <v>2000</v>
      </c>
      <c r="B20" s="146">
        <f>'[1]Capped Flow'!U19</f>
        <v>185660.63999999998</v>
      </c>
      <c r="C20" s="146">
        <f>'[1]Capped Flow'!V19</f>
        <v>169830.54000000004</v>
      </c>
      <c r="D20" s="146">
        <f t="shared" si="0"/>
        <v>-15830.099999999948</v>
      </c>
      <c r="E20" s="43">
        <f>'[2]GW Depletions'!W27</f>
        <v>43018.17574265381</v>
      </c>
      <c r="G20" s="146">
        <f t="shared" si="1"/>
        <v>27188.075742653862</v>
      </c>
      <c r="H20" s="152">
        <f>'[3]Req Inflow'!O19</f>
        <v>0</v>
      </c>
      <c r="I20" s="146">
        <f t="shared" si="2"/>
        <v>27188.075742653862</v>
      </c>
      <c r="K20" s="43">
        <f>MAX([2]GWCU!M24*0.3,E20)</f>
        <v>100468.19904999998</v>
      </c>
      <c r="L20" s="43">
        <f>'[2]M&amp;I COHYST Summary'!G48</f>
        <v>2263.1600000000008</v>
      </c>
      <c r="M20" s="43">
        <f>IF('[3]DS Demand'!S19&gt;0,'[3]DS Demand'!S19,0)</f>
        <v>28443.974935085447</v>
      </c>
      <c r="N20" s="43">
        <f>'[4]Instream Applied Duncan'!J19</f>
        <v>0</v>
      </c>
      <c r="O20" s="43">
        <f t="shared" si="3"/>
        <v>28443.974935085447</v>
      </c>
      <c r="P20" s="19"/>
      <c r="Q20" s="62">
        <f t="shared" si="4"/>
        <v>73725.310677739268</v>
      </c>
      <c r="R20" s="62">
        <f t="shared" si="7"/>
        <v>131175.33398508542</v>
      </c>
      <c r="T20" s="150">
        <f t="shared" si="5"/>
        <v>-46537.234935085406</v>
      </c>
      <c r="U20" s="150">
        <f t="shared" si="6"/>
        <v>-103987.25824243156</v>
      </c>
    </row>
    <row r="21" spans="1:21" x14ac:dyDescent="0.25">
      <c r="A21" s="38">
        <v>2001</v>
      </c>
      <c r="B21" s="146">
        <f>'[1]Capped Flow'!U20</f>
        <v>135034.01999999999</v>
      </c>
      <c r="C21" s="146">
        <f>'[1]Capped Flow'!V20</f>
        <v>130333.49999999994</v>
      </c>
      <c r="D21" s="146">
        <f t="shared" si="0"/>
        <v>-4700.5200000000477</v>
      </c>
      <c r="E21" s="43">
        <f>'[2]GW Depletions'!W28</f>
        <v>42880.204702708907</v>
      </c>
      <c r="G21" s="146">
        <f t="shared" si="1"/>
        <v>38179.684702708859</v>
      </c>
      <c r="H21" s="152">
        <f>'[3]Req Inflow'!O20</f>
        <v>0</v>
      </c>
      <c r="I21" s="146">
        <f t="shared" si="2"/>
        <v>38179.684702708859</v>
      </c>
      <c r="K21" s="43">
        <f>MAX([2]GWCU!M25*0.3,E21)</f>
        <v>70944.326272499806</v>
      </c>
      <c r="L21" s="43">
        <f>'[2]M&amp;I COHYST Summary'!G49</f>
        <v>2268.4500000000003</v>
      </c>
      <c r="M21" s="43">
        <f>IF('[3]DS Demand'!S20&gt;0,'[3]DS Demand'!S20,0)</f>
        <v>28844.595186742634</v>
      </c>
      <c r="N21" s="43">
        <f>'[4]Instream Applied Duncan'!J20</f>
        <v>0</v>
      </c>
      <c r="O21" s="43">
        <f t="shared" si="3"/>
        <v>28844.595186742634</v>
      </c>
      <c r="P21" s="19"/>
      <c r="Q21" s="62">
        <f t="shared" si="4"/>
        <v>73993.24988945153</v>
      </c>
      <c r="R21" s="62">
        <f t="shared" si="7"/>
        <v>102057.37145924244</v>
      </c>
      <c r="T21" s="150">
        <f t="shared" si="5"/>
        <v>-35813.565186742671</v>
      </c>
      <c r="U21" s="150">
        <f t="shared" si="6"/>
        <v>-63877.686756533578</v>
      </c>
    </row>
    <row r="22" spans="1:21" x14ac:dyDescent="0.25">
      <c r="A22" s="38">
        <v>2002</v>
      </c>
      <c r="B22" s="146">
        <f>'[1]Capped Flow'!U21</f>
        <v>16733.752200000006</v>
      </c>
      <c r="C22" s="146">
        <f>'[1]Capped Flow'!V21</f>
        <v>16262.9478</v>
      </c>
      <c r="D22" s="146">
        <f t="shared" si="0"/>
        <v>-470.80440000000635</v>
      </c>
      <c r="E22" s="43">
        <f>'[2]GW Depletions'!W29</f>
        <v>47780.839897842059</v>
      </c>
      <c r="G22" s="146">
        <f t="shared" si="1"/>
        <v>47310.035497842051</v>
      </c>
      <c r="H22" s="152">
        <f>'[3]Req Inflow'!O21</f>
        <v>0</v>
      </c>
      <c r="I22" s="146">
        <f t="shared" si="2"/>
        <v>47310.035497842051</v>
      </c>
      <c r="K22" s="43">
        <f>MAX([2]GWCU!M26*0.3,E22)</f>
        <v>130443.39396500005</v>
      </c>
      <c r="L22" s="43">
        <f>'[2]M&amp;I COHYST Summary'!G50</f>
        <v>2284.1100000000006</v>
      </c>
      <c r="M22" s="43">
        <f>IF('[3]DS Demand'!S21&gt;0,'[3]DS Demand'!S21,0)</f>
        <v>97459.886018602105</v>
      </c>
      <c r="N22" s="43">
        <f>'[4]Instream Applied Duncan'!J21</f>
        <v>0</v>
      </c>
      <c r="O22" s="43">
        <f t="shared" si="3"/>
        <v>97459.886018602105</v>
      </c>
      <c r="P22" s="19"/>
      <c r="Q22" s="62">
        <f t="shared" si="4"/>
        <v>147524.83591644414</v>
      </c>
      <c r="R22" s="62">
        <f t="shared" si="7"/>
        <v>230187.38998360216</v>
      </c>
      <c r="T22" s="150">
        <f t="shared" si="5"/>
        <v>-100214.80041860208</v>
      </c>
      <c r="U22" s="150">
        <f t="shared" si="6"/>
        <v>-182877.35448576009</v>
      </c>
    </row>
    <row r="23" spans="1:21" x14ac:dyDescent="0.25">
      <c r="A23" s="38">
        <v>2003</v>
      </c>
      <c r="B23" s="146">
        <f>'[1]Capped Flow'!U22</f>
        <v>29318.256000000001</v>
      </c>
      <c r="C23" s="146">
        <f>'[1]Capped Flow'!V22</f>
        <v>31295.523599999997</v>
      </c>
      <c r="D23" s="146">
        <f t="shared" si="0"/>
        <v>1977.2675999999956</v>
      </c>
      <c r="E23" s="43">
        <f>'[2]GW Depletions'!W30</f>
        <v>49312.053588154275</v>
      </c>
      <c r="G23" s="146">
        <f t="shared" si="1"/>
        <v>51289.321188154267</v>
      </c>
      <c r="H23" s="152">
        <f>'[3]Req Inflow'!O22</f>
        <v>0</v>
      </c>
      <c r="I23" s="146">
        <f t="shared" si="2"/>
        <v>51289.321188154267</v>
      </c>
      <c r="K23" s="43">
        <f>MAX([2]GWCU!M27*0.3,E23)</f>
        <v>96919.882622499863</v>
      </c>
      <c r="L23" s="43">
        <f>'[2]M&amp;I COHYST Summary'!G51</f>
        <v>2414.0699999999997</v>
      </c>
      <c r="M23" s="43">
        <f>IF('[3]DS Demand'!S22&gt;0,'[3]DS Demand'!S22,0)</f>
        <v>50741.629948257418</v>
      </c>
      <c r="N23" s="43">
        <f>'[4]Instream Applied Duncan'!J22</f>
        <v>0</v>
      </c>
      <c r="O23" s="43">
        <f t="shared" si="3"/>
        <v>50741.629948257418</v>
      </c>
      <c r="P23" s="19"/>
      <c r="Q23" s="62">
        <f t="shared" si="4"/>
        <v>102467.75353641171</v>
      </c>
      <c r="R23" s="62">
        <f t="shared" si="7"/>
        <v>150075.58257075728</v>
      </c>
      <c r="T23" s="150">
        <f t="shared" si="5"/>
        <v>-51178.43234825744</v>
      </c>
      <c r="U23" s="150">
        <f t="shared" si="6"/>
        <v>-98786.261382603014</v>
      </c>
    </row>
    <row r="24" spans="1:21" x14ac:dyDescent="0.25">
      <c r="A24" s="38">
        <v>2004</v>
      </c>
      <c r="B24" s="146">
        <f>'[1]Capped Flow'!U23</f>
        <v>6046.3062000000009</v>
      </c>
      <c r="C24" s="146">
        <f>'[1]Capped Flow'!V23</f>
        <v>7432.8407999999999</v>
      </c>
      <c r="D24" s="146">
        <f t="shared" si="0"/>
        <v>1386.534599999999</v>
      </c>
      <c r="E24" s="43">
        <f>'[2]GW Depletions'!W31</f>
        <v>49191.744123048673</v>
      </c>
      <c r="G24" s="146">
        <f t="shared" si="1"/>
        <v>50578.278723048672</v>
      </c>
      <c r="H24" s="152">
        <f>'[3]Req Inflow'!O23</f>
        <v>0</v>
      </c>
      <c r="I24" s="146">
        <f t="shared" si="2"/>
        <v>50578.278723048672</v>
      </c>
      <c r="K24" s="43">
        <f>MAX([2]GWCU!M28*0.3,E24)</f>
        <v>76173.214522499824</v>
      </c>
      <c r="L24" s="43">
        <f>'[2]M&amp;I COHYST Summary'!G52</f>
        <v>2434.4499999999998</v>
      </c>
      <c r="M24" s="43">
        <f>IF('[3]DS Demand'!S23&gt;0,'[3]DS Demand'!S23,0)</f>
        <v>45251.836848026156</v>
      </c>
      <c r="N24" s="43">
        <f>'[4]Instream Applied Duncan'!J23</f>
        <v>0</v>
      </c>
      <c r="O24" s="43">
        <f t="shared" si="3"/>
        <v>45251.836848026156</v>
      </c>
      <c r="P24" s="19"/>
      <c r="Q24" s="62">
        <f t="shared" si="4"/>
        <v>96878.030971074826</v>
      </c>
      <c r="R24" s="62">
        <f t="shared" si="7"/>
        <v>123859.50137052598</v>
      </c>
      <c r="T24" s="150">
        <f t="shared" si="5"/>
        <v>-46299.752248026154</v>
      </c>
      <c r="U24" s="150">
        <f t="shared" si="6"/>
        <v>-73281.222647477305</v>
      </c>
    </row>
    <row r="25" spans="1:21" x14ac:dyDescent="0.25">
      <c r="A25" s="38">
        <v>2005</v>
      </c>
      <c r="B25" s="146">
        <f>'[1]Capped Flow'!U24</f>
        <v>74360.899800000028</v>
      </c>
      <c r="C25" s="146">
        <f>'[1]Capped Flow'!V24</f>
        <v>104712.97320000001</v>
      </c>
      <c r="D25" s="146">
        <f t="shared" si="0"/>
        <v>30352.073399999979</v>
      </c>
      <c r="E25" s="43">
        <f>'[2]GW Depletions'!W32</f>
        <v>46055.424251606979</v>
      </c>
      <c r="G25" s="146">
        <f t="shared" si="1"/>
        <v>76407.497651606958</v>
      </c>
      <c r="H25" s="152">
        <f>'[3]Req Inflow'!O24</f>
        <v>0</v>
      </c>
      <c r="I25" s="146">
        <f t="shared" si="2"/>
        <v>76407.497651606958</v>
      </c>
      <c r="K25" s="43">
        <f>MAX([2]GWCU!M29*0.3,E25)</f>
        <v>78982.941757499924</v>
      </c>
      <c r="L25" s="43">
        <f>'[2]M&amp;I COHYST Summary'!G53</f>
        <v>2414.2000000000007</v>
      </c>
      <c r="M25" s="43">
        <f>IF('[3]DS Demand'!S24&gt;0,'[3]DS Demand'!S24,0)</f>
        <v>40955.050839215633</v>
      </c>
      <c r="N25" s="43">
        <f>'[4]Instream Applied Duncan'!J24</f>
        <v>0</v>
      </c>
      <c r="O25" s="43">
        <f t="shared" si="3"/>
        <v>40955.050839215633</v>
      </c>
      <c r="P25" s="19"/>
      <c r="Q25" s="62">
        <f t="shared" si="4"/>
        <v>89424.675090822609</v>
      </c>
      <c r="R25" s="62">
        <f t="shared" si="7"/>
        <v>122352.19259671555</v>
      </c>
      <c r="T25" s="150">
        <f t="shared" si="5"/>
        <v>-13017.177439215651</v>
      </c>
      <c r="U25" s="150">
        <f t="shared" si="6"/>
        <v>-45944.694945108597</v>
      </c>
    </row>
    <row r="26" spans="1:21" x14ac:dyDescent="0.25">
      <c r="A26" s="38">
        <v>2006</v>
      </c>
      <c r="B26" s="146">
        <f>'[1]Capped Flow'!U25</f>
        <v>9360.9450000000015</v>
      </c>
      <c r="C26" s="146">
        <f>'[1]Capped Flow'!V25</f>
        <v>6675.6690000000008</v>
      </c>
      <c r="D26" s="146">
        <f t="shared" si="0"/>
        <v>-2685.2760000000007</v>
      </c>
      <c r="E26" s="43">
        <f>'[2]GW Depletions'!W33</f>
        <v>42726.484237832876</v>
      </c>
      <c r="G26" s="146">
        <f t="shared" si="1"/>
        <v>40041.208237832878</v>
      </c>
      <c r="H26" s="152">
        <f>'[3]Req Inflow'!O25</f>
        <v>0</v>
      </c>
      <c r="I26" s="146">
        <f t="shared" si="2"/>
        <v>40041.208237832878</v>
      </c>
      <c r="K26" s="43">
        <f>MAX([2]GWCU!M30*0.3,E26)</f>
        <v>82691.444097500062</v>
      </c>
      <c r="L26" s="43">
        <f>'[2]M&amp;I COHYST Summary'!G54</f>
        <v>2414.2000000000007</v>
      </c>
      <c r="M26" s="43">
        <f>IF('[3]DS Demand'!S25&gt;0,'[3]DS Demand'!S25,0)</f>
        <v>44143.854820617846</v>
      </c>
      <c r="N26" s="43">
        <f>'[4]Instream Applied Duncan'!J25</f>
        <v>0</v>
      </c>
      <c r="O26" s="43">
        <f t="shared" si="3"/>
        <v>44143.854820617846</v>
      </c>
      <c r="P26" s="19"/>
      <c r="Q26" s="62">
        <f t="shared" si="4"/>
        <v>89284.539058450711</v>
      </c>
      <c r="R26" s="62">
        <f t="shared" si="7"/>
        <v>129249.49891811791</v>
      </c>
      <c r="T26" s="150">
        <f t="shared" si="5"/>
        <v>-49243.330820617834</v>
      </c>
      <c r="U26" s="150">
        <f t="shared" si="6"/>
        <v>-89208.290680285034</v>
      </c>
    </row>
    <row r="27" spans="1:21" x14ac:dyDescent="0.25">
      <c r="A27" s="38">
        <v>2007</v>
      </c>
      <c r="B27" s="146">
        <f>'[1]Capped Flow'!U26</f>
        <v>247456.44000000006</v>
      </c>
      <c r="C27" s="146">
        <f>'[1]Capped Flow'!V26</f>
        <v>347998.85999999993</v>
      </c>
      <c r="D27" s="146">
        <f t="shared" si="0"/>
        <v>100542.41999999987</v>
      </c>
      <c r="E27" s="43">
        <f>'[2]GW Depletions'!W34</f>
        <v>40498.659858815423</v>
      </c>
      <c r="G27" s="146">
        <f t="shared" si="1"/>
        <v>141041.0798588153</v>
      </c>
      <c r="H27" s="152">
        <f>'[3]Req Inflow'!O26</f>
        <v>27364.424921149421</v>
      </c>
      <c r="I27" s="146">
        <f t="shared" si="2"/>
        <v>168405.50477996471</v>
      </c>
      <c r="K27" s="43">
        <f>MAX([2]GWCU!M31*0.3,E27)</f>
        <v>65138.249200000122</v>
      </c>
      <c r="L27" s="43">
        <f>'[2]M&amp;I COHYST Summary'!G55</f>
        <v>2414.2000000000007</v>
      </c>
      <c r="M27" s="43">
        <f>IF('[3]DS Demand'!S26&gt;0,'[3]DS Demand'!S26,0)</f>
        <v>36246.44864231543</v>
      </c>
      <c r="N27" s="43">
        <f>'[4]Instream Applied Duncan'!J26</f>
        <v>35154.586884122953</v>
      </c>
      <c r="O27" s="43">
        <f t="shared" si="3"/>
        <v>36246.44864231543</v>
      </c>
      <c r="P27" s="19"/>
      <c r="Q27" s="62">
        <f t="shared" si="4"/>
        <v>79159.308501130858</v>
      </c>
      <c r="R27" s="62">
        <f t="shared" si="7"/>
        <v>103798.89784231555</v>
      </c>
      <c r="T27" s="150">
        <f t="shared" si="5"/>
        <v>89246.196278833857</v>
      </c>
      <c r="U27" s="150">
        <f t="shared" si="6"/>
        <v>64606.606937649165</v>
      </c>
    </row>
    <row r="28" spans="1:21" x14ac:dyDescent="0.25">
      <c r="A28" s="38">
        <v>2008</v>
      </c>
      <c r="B28" s="146">
        <f>'[1]Capped Flow'!U27</f>
        <v>302743.98000000004</v>
      </c>
      <c r="C28" s="146">
        <f>'[1]Capped Flow'!V27</f>
        <v>372063.78000000009</v>
      </c>
      <c r="D28" s="146">
        <f t="shared" si="0"/>
        <v>69319.800000000047</v>
      </c>
      <c r="E28" s="43">
        <f>'[2]GW Depletions'!W35</f>
        <v>42575.054403122129</v>
      </c>
      <c r="G28" s="146">
        <f t="shared" si="1"/>
        <v>111894.85440312218</v>
      </c>
      <c r="H28" s="152">
        <f>'[3]Req Inflow'!O27</f>
        <v>0</v>
      </c>
      <c r="I28" s="146">
        <f t="shared" si="2"/>
        <v>111894.85440312218</v>
      </c>
      <c r="K28" s="43">
        <f>MAX([2]GWCU!M32*0.3,E28)</f>
        <v>97712.88866750036</v>
      </c>
      <c r="L28" s="43">
        <f>'[2]M&amp;I COHYST Summary'!G56</f>
        <v>2414.2000000000007</v>
      </c>
      <c r="M28" s="43">
        <f>IF('[3]DS Demand'!S27&gt;0,'[3]DS Demand'!S27,0)</f>
        <v>29664.977922431062</v>
      </c>
      <c r="N28" s="43">
        <f>'[4]Instream Applied Duncan'!J27</f>
        <v>0</v>
      </c>
      <c r="O28" s="43">
        <f t="shared" si="3"/>
        <v>29664.977922431062</v>
      </c>
      <c r="P28" s="19"/>
      <c r="Q28" s="62">
        <f t="shared" si="4"/>
        <v>74654.232325553181</v>
      </c>
      <c r="R28" s="62">
        <f t="shared" si="7"/>
        <v>129792.06658993142</v>
      </c>
      <c r="T28" s="150">
        <f t="shared" si="5"/>
        <v>37240.622077569002</v>
      </c>
      <c r="U28" s="150">
        <f t="shared" si="6"/>
        <v>-17897.212186809236</v>
      </c>
    </row>
    <row r="29" spans="1:21" x14ac:dyDescent="0.25">
      <c r="A29" s="38">
        <v>2009</v>
      </c>
      <c r="B29" s="146">
        <f>'[1]Capped Flow'!U28</f>
        <v>139081.14000000004</v>
      </c>
      <c r="C29" s="146">
        <f>'[1]Capped Flow'!V28</f>
        <v>222803.45999999996</v>
      </c>
      <c r="D29" s="146">
        <f t="shared" si="0"/>
        <v>83722.31999999992</v>
      </c>
      <c r="E29" s="43">
        <f>'[2]GW Depletions'!W36</f>
        <v>41723.854056473829</v>
      </c>
      <c r="G29" s="146">
        <f t="shared" si="1"/>
        <v>125446.17405647374</v>
      </c>
      <c r="H29" s="152">
        <f>'[3]Req Inflow'!O28</f>
        <v>7479.9860607967212</v>
      </c>
      <c r="I29" s="146">
        <f t="shared" si="2"/>
        <v>132926.16011727045</v>
      </c>
      <c r="K29" s="43">
        <f>MAX([2]GWCU!M33*0.3,E29)</f>
        <v>101090.49732015324</v>
      </c>
      <c r="L29" s="43">
        <f>'[2]M&amp;I COHYST Summary'!G57</f>
        <v>2414.2000000000007</v>
      </c>
      <c r="M29" s="43">
        <f>IF('[3]DS Demand'!S28&gt;0,'[3]DS Demand'!S28,0)</f>
        <v>35436.047527624942</v>
      </c>
      <c r="N29" s="43">
        <f>'[4]Instream Applied Duncan'!J28</f>
        <v>9392.7907914060052</v>
      </c>
      <c r="O29" s="43">
        <f t="shared" si="3"/>
        <v>35436.047527624942</v>
      </c>
      <c r="P29" s="19"/>
      <c r="Q29" s="62">
        <f t="shared" si="4"/>
        <v>79574.101584098767</v>
      </c>
      <c r="R29" s="62">
        <f t="shared" si="7"/>
        <v>138940.7448477782</v>
      </c>
      <c r="T29" s="150">
        <f t="shared" si="5"/>
        <v>53352.058533171687</v>
      </c>
      <c r="U29" s="150">
        <f t="shared" si="6"/>
        <v>-6014.5847305077477</v>
      </c>
    </row>
    <row r="30" spans="1:21" x14ac:dyDescent="0.25">
      <c r="A30" s="38">
        <v>2010</v>
      </c>
      <c r="B30" s="146">
        <f>'[1]Capped Flow'!U29</f>
        <v>504874.26000000036</v>
      </c>
      <c r="C30" s="146">
        <f>'[1]Capped Flow'!V29</f>
        <v>655235.45999999973</v>
      </c>
      <c r="D30" s="146">
        <f t="shared" si="0"/>
        <v>150361.19999999937</v>
      </c>
      <c r="E30" s="43">
        <f>'[2]GW Depletions'!W37</f>
        <v>43662.131895087237</v>
      </c>
      <c r="G30" s="146">
        <f t="shared" si="1"/>
        <v>194023.33189508662</v>
      </c>
      <c r="H30" s="152">
        <f>'[3]Req Inflow'!O29</f>
        <v>48949.601212057874</v>
      </c>
      <c r="I30" s="146">
        <f t="shared" si="2"/>
        <v>242972.93310714449</v>
      </c>
      <c r="K30" s="43">
        <f>MAX([2]GWCU!M34*0.3,E30)</f>
        <v>106585.56814436929</v>
      </c>
      <c r="L30" s="43">
        <f>'[2]M&amp;I COHYST Summary'!G58</f>
        <v>2414.2000000000007</v>
      </c>
      <c r="M30" s="43">
        <f>IF('[3]DS Demand'!S29&gt;0,'[3]DS Demand'!S29,0)</f>
        <v>56930.519974379917</v>
      </c>
      <c r="N30" s="43">
        <f>'[4]Instream Applied Duncan'!J29</f>
        <v>56930.519974379917</v>
      </c>
      <c r="O30" s="43">
        <f t="shared" si="3"/>
        <v>56930.519974379917</v>
      </c>
      <c r="P30" s="19"/>
      <c r="Q30" s="62">
        <f t="shared" si="4"/>
        <v>103006.85186946715</v>
      </c>
      <c r="R30" s="62">
        <f t="shared" si="7"/>
        <v>165930.28811874922</v>
      </c>
      <c r="T30" s="150">
        <f t="shared" si="5"/>
        <v>139966.08123767734</v>
      </c>
      <c r="U30" s="150">
        <f t="shared" si="6"/>
        <v>77042.644988395274</v>
      </c>
    </row>
    <row r="31" spans="1:21" x14ac:dyDescent="0.25">
      <c r="A31" s="38">
        <v>2011</v>
      </c>
      <c r="B31" s="146">
        <f>'[1]Capped Flow'!U30</f>
        <v>849558.60000000137</v>
      </c>
      <c r="C31" s="146">
        <f>'[1]Capped Flow'!V30</f>
        <v>426587.04000000004</v>
      </c>
      <c r="D31" s="146">
        <f t="shared" si="0"/>
        <v>-422971.56000000134</v>
      </c>
      <c r="E31" s="43">
        <f>'[2]GW Depletions'!W38</f>
        <v>41265.800269742882</v>
      </c>
      <c r="G31" s="146">
        <f t="shared" si="1"/>
        <v>-381705.75973025843</v>
      </c>
      <c r="H31" s="152">
        <f>'[3]Req Inflow'!O30</f>
        <v>40765.218536588916</v>
      </c>
      <c r="I31" s="146">
        <f t="shared" si="2"/>
        <v>-340940.54119366955</v>
      </c>
      <c r="K31" s="43">
        <f>MAX([2]GWCU!M35*0.3,E31)</f>
        <v>130391.22515021273</v>
      </c>
      <c r="L31" s="43">
        <f>'[2]M&amp;I COHYST Summary'!G59</f>
        <v>2414.2000000000007</v>
      </c>
      <c r="M31" s="43">
        <f>IF('[3]DS Demand'!S30&gt;0,'[3]DS Demand'!S30,0)</f>
        <v>40765.218536588916</v>
      </c>
      <c r="N31" s="43">
        <f>'[4]Instream Applied Duncan'!J30</f>
        <v>40765.218536588916</v>
      </c>
      <c r="O31" s="43">
        <f t="shared" si="3"/>
        <v>40765.218536588916</v>
      </c>
      <c r="P31" s="19"/>
      <c r="Q31" s="62">
        <f t="shared" si="4"/>
        <v>84445.218806331788</v>
      </c>
      <c r="R31" s="62">
        <f t="shared" si="7"/>
        <v>173570.64368680166</v>
      </c>
      <c r="T31" s="150">
        <f t="shared" si="5"/>
        <v>-425385.76000000135</v>
      </c>
      <c r="U31" s="150">
        <f t="shared" si="6"/>
        <v>-514511.18488047121</v>
      </c>
    </row>
    <row r="32" spans="1:21" x14ac:dyDescent="0.25">
      <c r="A32" s="38">
        <v>2012</v>
      </c>
      <c r="B32" s="146">
        <f>'[1]Capped Flow'!U31</f>
        <v>25040.3868</v>
      </c>
      <c r="C32" s="146">
        <f>'[1]Capped Flow'!V31</f>
        <v>739233.00000000023</v>
      </c>
      <c r="D32" s="146">
        <f t="shared" si="0"/>
        <v>714192.61320000025</v>
      </c>
      <c r="E32" s="43">
        <f>'[2]GW Depletions'!W39</f>
        <v>53262.777679063358</v>
      </c>
      <c r="G32" s="146">
        <f t="shared" si="1"/>
        <v>767455.39087906363</v>
      </c>
      <c r="H32" s="152">
        <f>'[3]Req Inflow'!O31</f>
        <v>0</v>
      </c>
      <c r="I32" s="146">
        <f t="shared" si="2"/>
        <v>767455.39087906363</v>
      </c>
      <c r="K32" s="43">
        <f>MAX([2]GWCU!M36*0.3,E32)</f>
        <v>156216.26170499992</v>
      </c>
      <c r="L32" s="43">
        <f>'[2]M&amp;I COHYST Summary'!G60</f>
        <v>2414.2000000000007</v>
      </c>
      <c r="M32" s="43">
        <f>IF('[3]DS Demand'!S31&gt;0,'[3]DS Demand'!S31,0)</f>
        <v>169812.62644819613</v>
      </c>
      <c r="N32" s="43">
        <f>'[4]Instream Applied Duncan'!J31</f>
        <v>0</v>
      </c>
      <c r="O32" s="43">
        <f t="shared" si="3"/>
        <v>169812.62644819613</v>
      </c>
      <c r="P32" s="19"/>
      <c r="Q32" s="62">
        <f t="shared" si="4"/>
        <v>225489.60412725949</v>
      </c>
      <c r="R32" s="62">
        <f t="shared" si="7"/>
        <v>328443.08815319609</v>
      </c>
      <c r="T32" s="150">
        <f t="shared" si="5"/>
        <v>541965.78675180417</v>
      </c>
      <c r="U32" s="150">
        <f t="shared" si="6"/>
        <v>439012.30272586754</v>
      </c>
    </row>
    <row r="33" spans="1:21" x14ac:dyDescent="0.25">
      <c r="H33" s="8"/>
      <c r="I33" s="3"/>
      <c r="K33" s="3"/>
      <c r="L33" s="120"/>
      <c r="M33" s="3"/>
      <c r="N33" s="3"/>
      <c r="O33" s="3"/>
    </row>
    <row r="34" spans="1:21" x14ac:dyDescent="0.25">
      <c r="E34"/>
      <c r="H34" s="8"/>
      <c r="I34" s="3"/>
      <c r="K34" s="3"/>
      <c r="L34" s="120"/>
      <c r="M34" s="3"/>
      <c r="N34" s="3"/>
      <c r="O34" s="3"/>
    </row>
    <row r="35" spans="1:21" x14ac:dyDescent="0.25">
      <c r="A35" s="6" t="s">
        <v>9</v>
      </c>
      <c r="B35" s="18">
        <f>AVERAGE(B8:B32)</f>
        <v>242273.3781600002</v>
      </c>
      <c r="C35" s="18">
        <f t="shared" ref="C35:U35" si="8">AVERAGE(C8:C32)</f>
        <v>305185.71283199993</v>
      </c>
      <c r="D35" s="18">
        <f t="shared" si="8"/>
        <v>62912.334671999815</v>
      </c>
      <c r="E35" s="18">
        <f t="shared" si="8"/>
        <v>41879.718482690536</v>
      </c>
      <c r="F35" s="18"/>
      <c r="G35" s="18">
        <f t="shared" si="8"/>
        <v>104792.05315469034</v>
      </c>
      <c r="H35" s="80">
        <f>AVERAGE(H8:H32)</f>
        <v>13479.015134049108</v>
      </c>
      <c r="I35" s="80">
        <f>AVERAGE(I8:I32)</f>
        <v>118271.06828873948</v>
      </c>
      <c r="J35" s="18"/>
      <c r="K35" s="80">
        <f t="shared" si="8"/>
        <v>86855.014244989405</v>
      </c>
      <c r="L35" s="80">
        <f t="shared" si="8"/>
        <v>2357.2035999999994</v>
      </c>
      <c r="M35" s="80">
        <f t="shared" si="8"/>
        <v>53231.950799428683</v>
      </c>
      <c r="N35" s="80">
        <f t="shared" si="8"/>
        <v>16345.788959914795</v>
      </c>
      <c r="O35" s="80">
        <f t="shared" si="8"/>
        <v>53231.950799428683</v>
      </c>
      <c r="P35" s="18"/>
      <c r="Q35" s="18">
        <f t="shared" si="8"/>
        <v>97468.872882119249</v>
      </c>
      <c r="R35" s="18">
        <f t="shared" si="8"/>
        <v>142444.1686444181</v>
      </c>
      <c r="S35" s="18"/>
      <c r="T35" s="18">
        <f t="shared" si="8"/>
        <v>20802.195406620238</v>
      </c>
      <c r="U35" s="18">
        <f t="shared" si="8"/>
        <v>-24173.100355678631</v>
      </c>
    </row>
    <row r="36" spans="1:21" x14ac:dyDescent="0.25">
      <c r="E36"/>
      <c r="M36" s="28"/>
    </row>
    <row r="37" spans="1:21" x14ac:dyDescent="0.25">
      <c r="E37"/>
      <c r="M37" s="28"/>
    </row>
    <row r="38" spans="1:21" x14ac:dyDescent="0.25">
      <c r="E38"/>
    </row>
    <row r="39" spans="1:21" x14ac:dyDescent="0.25">
      <c r="E39"/>
    </row>
    <row r="40" spans="1:21" x14ac:dyDescent="0.25">
      <c r="A40" s="6" t="s">
        <v>10</v>
      </c>
      <c r="D40" s="6" t="s">
        <v>6</v>
      </c>
      <c r="E40"/>
      <c r="F40"/>
      <c r="G40" t="s">
        <v>7</v>
      </c>
      <c r="K40" s="16" t="s">
        <v>135</v>
      </c>
      <c r="L40" s="161" t="s">
        <v>136</v>
      </c>
    </row>
    <row r="41" spans="1:21" x14ac:dyDescent="0.25">
      <c r="A41" s="42" t="s">
        <v>2</v>
      </c>
      <c r="B41" s="43">
        <f>D35</f>
        <v>62912.334671999815</v>
      </c>
      <c r="D41" s="42" t="s">
        <v>11</v>
      </c>
      <c r="E41" s="43">
        <f>E35</f>
        <v>41879.718482690536</v>
      </c>
      <c r="F41"/>
      <c r="G41" s="42" t="s">
        <v>12</v>
      </c>
      <c r="H41" s="43">
        <f>K35</f>
        <v>86855.014244989405</v>
      </c>
      <c r="K41" s="161" t="s">
        <v>137</v>
      </c>
      <c r="L41" s="161" t="s">
        <v>138</v>
      </c>
    </row>
    <row r="42" spans="1:21" x14ac:dyDescent="0.25">
      <c r="A42" s="42" t="s">
        <v>11</v>
      </c>
      <c r="B42" s="43">
        <f>E35</f>
        <v>41879.718482690536</v>
      </c>
      <c r="D42" s="42" t="s">
        <v>13</v>
      </c>
      <c r="E42" s="43">
        <v>0</v>
      </c>
      <c r="F42"/>
      <c r="G42" s="42" t="s">
        <v>13</v>
      </c>
      <c r="H42" s="43">
        <v>0</v>
      </c>
      <c r="K42" s="161" t="s">
        <v>139</v>
      </c>
      <c r="L42" s="161" t="s">
        <v>140</v>
      </c>
    </row>
    <row r="43" spans="1:21" x14ac:dyDescent="0.25">
      <c r="A43" s="42" t="s">
        <v>3</v>
      </c>
      <c r="B43" s="43">
        <v>0</v>
      </c>
      <c r="D43" s="42" t="s">
        <v>18</v>
      </c>
      <c r="E43" s="72">
        <f>O35</f>
        <v>53231.950799428683</v>
      </c>
      <c r="F43"/>
      <c r="G43" s="119" t="s">
        <v>18</v>
      </c>
      <c r="H43" s="74">
        <f>O35</f>
        <v>53231.950799428683</v>
      </c>
      <c r="K43" s="161" t="s">
        <v>141</v>
      </c>
      <c r="L43" s="161" t="s">
        <v>142</v>
      </c>
    </row>
    <row r="44" spans="1:21" x14ac:dyDescent="0.25">
      <c r="A44" s="42" t="s">
        <v>68</v>
      </c>
      <c r="B44" s="43">
        <f>H35</f>
        <v>13479.015134049108</v>
      </c>
      <c r="D44" s="42" t="s">
        <v>95</v>
      </c>
      <c r="E44" s="72">
        <f>L35</f>
        <v>2357.2035999999994</v>
      </c>
      <c r="F44"/>
      <c r="G44" s="119" t="s">
        <v>95</v>
      </c>
      <c r="H44" s="77">
        <f>E44</f>
        <v>2357.2035999999994</v>
      </c>
      <c r="K44" s="161" t="s">
        <v>143</v>
      </c>
      <c r="L44" s="161" t="s">
        <v>144</v>
      </c>
    </row>
    <row r="45" spans="1:21" x14ac:dyDescent="0.25">
      <c r="A45" s="42" t="s">
        <v>22</v>
      </c>
      <c r="B45" s="43">
        <f>SUM(B41:B44)</f>
        <v>118271.06828873947</v>
      </c>
      <c r="D45" s="42" t="s">
        <v>42</v>
      </c>
      <c r="E45" s="43">
        <f>B45-E46</f>
        <v>20802.195406620245</v>
      </c>
      <c r="F45"/>
      <c r="G45" s="42" t="s">
        <v>42</v>
      </c>
      <c r="H45" s="43">
        <f>B45-H46</f>
        <v>-24173.100355678631</v>
      </c>
      <c r="K45" s="161" t="s">
        <v>5</v>
      </c>
      <c r="L45" s="161" t="s">
        <v>145</v>
      </c>
    </row>
    <row r="46" spans="1:21" x14ac:dyDescent="0.25">
      <c r="D46" s="42" t="s">
        <v>22</v>
      </c>
      <c r="E46" s="43">
        <f>SUM(E41:E44)</f>
        <v>97468.87288211922</v>
      </c>
      <c r="F46"/>
      <c r="G46" s="42" t="s">
        <v>22</v>
      </c>
      <c r="H46" s="43">
        <f>SUM(H41:H44)</f>
        <v>142444.1686444181</v>
      </c>
      <c r="K46" s="5" t="s">
        <v>146</v>
      </c>
      <c r="L46" s="161" t="s">
        <v>147</v>
      </c>
    </row>
    <row r="47" spans="1:21" x14ac:dyDescent="0.25">
      <c r="E47"/>
      <c r="K47" s="5" t="s">
        <v>148</v>
      </c>
      <c r="L47" s="161" t="s">
        <v>149</v>
      </c>
    </row>
    <row r="48" spans="1:21" x14ac:dyDescent="0.25">
      <c r="E48"/>
      <c r="K48" s="5" t="s">
        <v>150</v>
      </c>
      <c r="L48" s="161" t="s">
        <v>151</v>
      </c>
    </row>
    <row r="49" spans="5:12" x14ac:dyDescent="0.25">
      <c r="E49"/>
      <c r="K49" s="125" t="s">
        <v>152</v>
      </c>
      <c r="L49" s="125" t="s">
        <v>153</v>
      </c>
    </row>
    <row r="50" spans="5:12" x14ac:dyDescent="0.25">
      <c r="E50"/>
      <c r="K50" s="125" t="s">
        <v>154</v>
      </c>
      <c r="L50" s="125" t="s">
        <v>155</v>
      </c>
    </row>
    <row r="51" spans="5:12" x14ac:dyDescent="0.25">
      <c r="E51"/>
    </row>
    <row r="52" spans="5:12" x14ac:dyDescent="0.25">
      <c r="E52"/>
    </row>
    <row r="53" spans="5:12" x14ac:dyDescent="0.25">
      <c r="E53"/>
    </row>
    <row r="54" spans="5:12" x14ac:dyDescent="0.25">
      <c r="E54"/>
    </row>
    <row r="55" spans="5:12" x14ac:dyDescent="0.25">
      <c r="E55"/>
    </row>
    <row r="56" spans="5:12" x14ac:dyDescent="0.25">
      <c r="E56"/>
    </row>
    <row r="57" spans="5:12" x14ac:dyDescent="0.25">
      <c r="E57"/>
    </row>
    <row r="58" spans="5:12" x14ac:dyDescent="0.25">
      <c r="E58"/>
    </row>
    <row r="59" spans="5:12" x14ac:dyDescent="0.25">
      <c r="E59"/>
    </row>
    <row r="60" spans="5:12" x14ac:dyDescent="0.25">
      <c r="E60"/>
    </row>
    <row r="61" spans="5:12" x14ac:dyDescent="0.25">
      <c r="E61"/>
    </row>
    <row r="62" spans="5:12" x14ac:dyDescent="0.25">
      <c r="E62"/>
    </row>
  </sheetData>
  <mergeCells count="1">
    <mergeCell ref="A6:A7"/>
  </mergeCells>
  <pageMargins left="0.7" right="0.7" top="0.75" bottom="0.75" header="0.3" footer="0.3"/>
  <pageSetup paperSize="3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  <pageSetUpPr fitToPage="1"/>
  </sheetPr>
  <dimension ref="A1:AE59"/>
  <sheetViews>
    <sheetView topLeftCell="A8" zoomScale="85" zoomScaleNormal="85" workbookViewId="0">
      <selection activeCell="A35" sqref="A35"/>
    </sheetView>
  </sheetViews>
  <sheetFormatPr defaultRowHeight="15" x14ac:dyDescent="0.25"/>
  <cols>
    <col min="1" max="1" width="24.28515625" customWidth="1"/>
    <col min="2" max="3" width="18.28515625" customWidth="1"/>
    <col min="4" max="4" width="18.28515625" style="126" customWidth="1"/>
    <col min="5" max="6" width="18.28515625" customWidth="1"/>
    <col min="7" max="7" width="14" customWidth="1"/>
    <col min="8" max="8" width="14" style="49" customWidth="1"/>
    <col min="9" max="9" width="19.28515625" customWidth="1"/>
    <col min="10" max="10" width="13.140625" style="1" customWidth="1"/>
    <col min="11" max="11" width="19.85546875" style="7" customWidth="1"/>
    <col min="12" max="12" width="22.85546875" customWidth="1"/>
    <col min="13" max="13" width="22.85546875" style="126" customWidth="1"/>
    <col min="14" max="14" width="21.42578125" bestFit="1" customWidth="1"/>
    <col min="15" max="15" width="21.42578125" style="115" customWidth="1"/>
    <col min="16" max="17" width="18.140625" customWidth="1"/>
    <col min="18" max="18" width="18.140625" style="126" customWidth="1"/>
    <col min="19" max="19" width="18.140625" style="115" customWidth="1"/>
    <col min="20" max="20" width="18.140625" customWidth="1"/>
    <col min="21" max="21" width="7.7109375" bestFit="1" customWidth="1"/>
    <col min="22" max="22" width="23" style="115" customWidth="1"/>
    <col min="23" max="23" width="24.140625" customWidth="1"/>
    <col min="24" max="24" width="24.140625" style="115" customWidth="1"/>
    <col min="25" max="25" width="24.140625" customWidth="1"/>
    <col min="27" max="27" width="22.5703125" style="115" customWidth="1"/>
    <col min="28" max="28" width="26" customWidth="1"/>
    <col min="29" max="29" width="26" style="115" customWidth="1"/>
    <col min="30" max="30" width="26" customWidth="1"/>
  </cols>
  <sheetData>
    <row r="1" spans="1:30" s="161" customFormat="1" x14ac:dyDescent="0.25">
      <c r="A1" s="6" t="s">
        <v>108</v>
      </c>
      <c r="B1" s="162">
        <v>43262</v>
      </c>
      <c r="J1" s="127"/>
      <c r="K1" s="160"/>
    </row>
    <row r="2" spans="1:30" s="161" customFormat="1" x14ac:dyDescent="0.25">
      <c r="A2" s="6" t="s">
        <v>109</v>
      </c>
      <c r="B2" s="6" t="s">
        <v>110</v>
      </c>
      <c r="J2" s="127"/>
      <c r="K2" s="160"/>
    </row>
    <row r="3" spans="1:30" x14ac:dyDescent="0.25">
      <c r="A3" t="s">
        <v>31</v>
      </c>
      <c r="K3" s="44"/>
    </row>
    <row r="4" spans="1:30" x14ac:dyDescent="0.25">
      <c r="A4" t="s">
        <v>17</v>
      </c>
      <c r="K4" s="44"/>
    </row>
    <row r="5" spans="1:30" ht="15" customHeight="1" x14ac:dyDescent="0.25">
      <c r="H5" s="32"/>
      <c r="K5" s="137"/>
      <c r="L5" s="135"/>
      <c r="M5" s="135"/>
      <c r="N5" s="139"/>
      <c r="O5" s="135"/>
      <c r="P5" s="135"/>
      <c r="Q5" s="135"/>
      <c r="R5" s="135"/>
      <c r="S5" s="135"/>
      <c r="T5" s="135"/>
      <c r="U5" s="6"/>
      <c r="V5" s="6"/>
      <c r="W5" s="6"/>
      <c r="X5" s="6"/>
      <c r="Y5" s="6"/>
    </row>
    <row r="6" spans="1:30" s="12" customFormat="1" ht="45" x14ac:dyDescent="0.25">
      <c r="A6" s="185" t="s">
        <v>1</v>
      </c>
      <c r="B6" s="182" t="s">
        <v>131</v>
      </c>
      <c r="C6" s="182" t="s">
        <v>33</v>
      </c>
      <c r="D6" s="182" t="s">
        <v>98</v>
      </c>
      <c r="E6" s="164" t="s">
        <v>20</v>
      </c>
      <c r="F6" s="164" t="s">
        <v>11</v>
      </c>
      <c r="G6" s="164" t="s">
        <v>3</v>
      </c>
      <c r="H6" s="181"/>
      <c r="I6" s="163" t="s">
        <v>56</v>
      </c>
      <c r="J6" s="141"/>
      <c r="K6" s="173" t="s">
        <v>112</v>
      </c>
      <c r="L6" s="173" t="s">
        <v>12</v>
      </c>
      <c r="M6" s="173" t="s">
        <v>95</v>
      </c>
      <c r="N6" s="173" t="s">
        <v>82</v>
      </c>
      <c r="O6" s="173" t="s">
        <v>91</v>
      </c>
      <c r="P6" s="173" t="s">
        <v>92</v>
      </c>
      <c r="Q6" s="173" t="s">
        <v>67</v>
      </c>
      <c r="R6" s="173" t="s">
        <v>20</v>
      </c>
      <c r="S6" s="173" t="s">
        <v>47</v>
      </c>
      <c r="T6" s="173" t="s">
        <v>48</v>
      </c>
      <c r="U6" s="130"/>
      <c r="V6" s="173" t="s">
        <v>49</v>
      </c>
      <c r="W6" s="173" t="s">
        <v>50</v>
      </c>
      <c r="X6" s="173" t="s">
        <v>46</v>
      </c>
      <c r="Y6" s="173" t="s">
        <v>45</v>
      </c>
      <c r="Z6" s="130"/>
      <c r="AA6" s="173" t="s">
        <v>64</v>
      </c>
      <c r="AB6" s="173" t="s">
        <v>63</v>
      </c>
      <c r="AC6" s="173" t="s">
        <v>65</v>
      </c>
      <c r="AD6" s="173" t="s">
        <v>66</v>
      </c>
    </row>
    <row r="7" spans="1:30" s="12" customFormat="1" x14ac:dyDescent="0.25">
      <c r="A7" s="185"/>
      <c r="B7" s="183" t="s">
        <v>8</v>
      </c>
      <c r="C7" s="183" t="s">
        <v>8</v>
      </c>
      <c r="D7" s="183" t="s">
        <v>8</v>
      </c>
      <c r="E7" s="164" t="s">
        <v>8</v>
      </c>
      <c r="F7" s="164" t="s">
        <v>8</v>
      </c>
      <c r="G7" s="164" t="s">
        <v>8</v>
      </c>
      <c r="H7" s="181"/>
      <c r="I7" s="164" t="s">
        <v>8</v>
      </c>
      <c r="J7" s="141"/>
      <c r="K7" s="174" t="s">
        <v>8</v>
      </c>
      <c r="L7" s="174" t="s">
        <v>8</v>
      </c>
      <c r="M7" s="173" t="s">
        <v>97</v>
      </c>
      <c r="N7" s="174" t="s">
        <v>8</v>
      </c>
      <c r="O7" s="174" t="s">
        <v>8</v>
      </c>
      <c r="P7" s="174" t="s">
        <v>8</v>
      </c>
      <c r="Q7" s="174" t="s">
        <v>8</v>
      </c>
      <c r="R7" s="174" t="s">
        <v>8</v>
      </c>
      <c r="S7" s="174" t="s">
        <v>8</v>
      </c>
      <c r="T7" s="174" t="s">
        <v>8</v>
      </c>
      <c r="U7" s="130"/>
      <c r="V7" s="174" t="s">
        <v>8</v>
      </c>
      <c r="W7" s="174" t="s">
        <v>8</v>
      </c>
      <c r="X7" s="174" t="s">
        <v>8</v>
      </c>
      <c r="Y7" s="174" t="s">
        <v>8</v>
      </c>
      <c r="Z7" s="130"/>
      <c r="AA7" s="174" t="s">
        <v>8</v>
      </c>
      <c r="AB7" s="174" t="s">
        <v>8</v>
      </c>
      <c r="AC7" s="174" t="s">
        <v>8</v>
      </c>
      <c r="AD7" s="174" t="s">
        <v>8</v>
      </c>
    </row>
    <row r="8" spans="1:30" x14ac:dyDescent="0.25">
      <c r="A8" s="38">
        <v>1988</v>
      </c>
      <c r="B8" s="146">
        <f>'[1]Capped Flow'!K7</f>
        <v>211982.75999999983</v>
      </c>
      <c r="C8" s="146">
        <f>'[1]Upper Platte Gage Data'!C8</f>
        <v>211240.26000000004</v>
      </c>
      <c r="D8" s="146">
        <f>B8+C8</f>
        <v>423223.0199999999</v>
      </c>
      <c r="E8" s="146">
        <f>'[2]Reservoir Evap'!E11+IF('[2]Reservoir Evap'!F11&gt;0, '[2]Reservoir Evap'!F11, 0)</f>
        <v>13437.23412637912</v>
      </c>
      <c r="F8" s="146">
        <f>'[2]GW Depletions'!I15</f>
        <v>40956.786818227731</v>
      </c>
      <c r="G8" s="146">
        <f>[2]SWCU!F10</f>
        <v>45.864682499477411</v>
      </c>
      <c r="I8" s="43">
        <f t="shared" ref="I8:I32" si="0">SUM(D8:G8)</f>
        <v>477662.90562710626</v>
      </c>
      <c r="J8" s="17"/>
      <c r="K8" s="43">
        <f>[2]SWDemand!E14</f>
        <v>281.60770000000002</v>
      </c>
      <c r="L8" s="43">
        <f>MAX([2]GWCU!E12*0.7,F8)</f>
        <v>90041.302750000003</v>
      </c>
      <c r="M8" s="157">
        <f>'[2]M&amp;I COHYST Summary'!D8</f>
        <v>1639.0699999999997</v>
      </c>
      <c r="N8" s="43">
        <f>MAX('[3]DS Demand'!I7,0)</f>
        <v>273037.46509094117</v>
      </c>
      <c r="O8" s="43">
        <f>MIN(273*3762-'NorthPlatte_NonIRR Season'!U8,P8)</f>
        <v>273037.46509094117</v>
      </c>
      <c r="P8" s="43">
        <f>'[1]South Platte Roscoe'!B10</f>
        <v>459459</v>
      </c>
      <c r="Q8" s="62">
        <f>'[2]Net SW Loss'!H13</f>
        <v>2723.7300004500021</v>
      </c>
      <c r="R8" s="62">
        <f t="shared" ref="R8:R32" si="1">E8</f>
        <v>13437.23412637912</v>
      </c>
      <c r="S8" s="62">
        <f t="shared" ref="S8:S32" si="2">MAX(N8,O8)</f>
        <v>273037.46509094117</v>
      </c>
      <c r="T8" s="62">
        <f t="shared" ref="T8:T32" si="3">MAX(N8,P8)</f>
        <v>459459</v>
      </c>
      <c r="U8" s="19"/>
      <c r="V8" s="62">
        <f>F8+S8+K8+Q8+M8+R8</f>
        <v>332075.89373599802</v>
      </c>
      <c r="W8" s="62">
        <f>F8+T8+K8+Q8+M8+R8</f>
        <v>518497.42864505685</v>
      </c>
      <c r="X8" s="62">
        <f>Q8+S8+K8+L8+M8+R8</f>
        <v>381160.40966777032</v>
      </c>
      <c r="Y8" s="62">
        <f>Q8+T8+K8+L8+M8+R8</f>
        <v>567581.94457682909</v>
      </c>
      <c r="Z8" s="131"/>
      <c r="AA8" s="62">
        <f t="shared" ref="AA8:AA32" si="4">$I8-V8</f>
        <v>145587.01189110824</v>
      </c>
      <c r="AB8" s="62">
        <f t="shared" ref="AB8:AB32" si="5">$I8-W8</f>
        <v>-40834.523017950589</v>
      </c>
      <c r="AC8" s="62">
        <f t="shared" ref="AC8:AC32" si="6">$I8-X8</f>
        <v>96502.495959335938</v>
      </c>
      <c r="AD8" s="62">
        <f t="shared" ref="AD8:AD32" si="7">$I8-Y8</f>
        <v>-89919.038949722832</v>
      </c>
    </row>
    <row r="9" spans="1:30" x14ac:dyDescent="0.25">
      <c r="A9" s="38">
        <v>1989</v>
      </c>
      <c r="B9" s="146">
        <f>'[1]Capped Flow'!K8</f>
        <v>126357.65999999997</v>
      </c>
      <c r="C9" s="146">
        <f>'[1]Upper Platte Gage Data'!C9</f>
        <v>129311.40419999993</v>
      </c>
      <c r="D9" s="146">
        <f t="shared" ref="D9:D32" si="8">B9+C9</f>
        <v>255669.06419999991</v>
      </c>
      <c r="E9" s="146">
        <f>'[2]Reservoir Evap'!E12+IF('[2]Reservoir Evap'!F12&gt;0, '[2]Reservoir Evap'!F12, 0)</f>
        <v>14724.623146608941</v>
      </c>
      <c r="F9" s="146">
        <f>'[2]GW Depletions'!I16</f>
        <v>40555.611611340682</v>
      </c>
      <c r="G9" s="146">
        <f>[2]SWCU!F11</f>
        <v>17.979181999869358</v>
      </c>
      <c r="I9" s="146">
        <f t="shared" si="0"/>
        <v>310967.27813994937</v>
      </c>
      <c r="J9" s="17"/>
      <c r="K9" s="43">
        <f>[2]SWDemand!E15</f>
        <v>191.13960999999972</v>
      </c>
      <c r="L9" s="43">
        <f>MAX([2]GWCU!E13*0.7,F9)</f>
        <v>119846.76815416657</v>
      </c>
      <c r="M9" s="157">
        <f>'[2]M&amp;I COHYST Summary'!D9</f>
        <v>1721.0199999999995</v>
      </c>
      <c r="N9" s="43">
        <f>MAX('[3]DS Demand'!I8,0)</f>
        <v>296266.25581134058</v>
      </c>
      <c r="O9" s="43">
        <f>MIN(273*3762-'NorthPlatte_NonIRR Season'!U9,P9)</f>
        <v>296266.25581134058</v>
      </c>
      <c r="P9" s="43">
        <f>'[1]South Platte Roscoe'!B11</f>
        <v>296266.25581134058</v>
      </c>
      <c r="Q9" s="62">
        <f>'[2]Net SW Loss'!H14</f>
        <v>2869.1200002000028</v>
      </c>
      <c r="R9" s="61">
        <f t="shared" si="1"/>
        <v>14724.623146608941</v>
      </c>
      <c r="S9" s="62">
        <f t="shared" si="2"/>
        <v>296266.25581134058</v>
      </c>
      <c r="T9" s="62">
        <f t="shared" si="3"/>
        <v>296266.25581134058</v>
      </c>
      <c r="U9" s="19"/>
      <c r="V9" s="62">
        <f t="shared" ref="V9:V32" si="9">F9+S9+K9+Q9+M9+R9</f>
        <v>356327.77017949021</v>
      </c>
      <c r="W9" s="62">
        <f t="shared" ref="W9:W32" si="10">F9+T9+K9+Q9+M9+R9</f>
        <v>356327.77017949021</v>
      </c>
      <c r="X9" s="62">
        <f t="shared" ref="X9:X32" si="11">Q9+S9+K9+L9+M9+R9</f>
        <v>435618.92672231613</v>
      </c>
      <c r="Y9" s="62">
        <f t="shared" ref="Y9:Y32" si="12">Q9+T9+K9+L9+M9+R9</f>
        <v>435618.92672231613</v>
      </c>
      <c r="Z9" s="131"/>
      <c r="AA9" s="62">
        <f t="shared" si="4"/>
        <v>-45360.492039540841</v>
      </c>
      <c r="AB9" s="62">
        <f t="shared" si="5"/>
        <v>-45360.492039540841</v>
      </c>
      <c r="AC9" s="62">
        <f t="shared" si="6"/>
        <v>-124651.64858236676</v>
      </c>
      <c r="AD9" s="62">
        <f t="shared" si="7"/>
        <v>-124651.64858236676</v>
      </c>
    </row>
    <row r="10" spans="1:30" x14ac:dyDescent="0.25">
      <c r="A10" s="38">
        <v>1990</v>
      </c>
      <c r="B10" s="146">
        <f>'[1]Capped Flow'!K9</f>
        <v>88630.739999999976</v>
      </c>
      <c r="C10" s="146">
        <f>'[1]Upper Platte Gage Data'!C10</f>
        <v>211267.98000000007</v>
      </c>
      <c r="D10" s="146">
        <f t="shared" si="8"/>
        <v>299898.72000000003</v>
      </c>
      <c r="E10" s="146">
        <f>'[2]Reservoir Evap'!E13+IF('[2]Reservoir Evap'!F13&gt;0, '[2]Reservoir Evap'!F13, 0)</f>
        <v>13379.387191237731</v>
      </c>
      <c r="F10" s="146">
        <f>'[2]GW Depletions'!I17</f>
        <v>44001.394854224054</v>
      </c>
      <c r="G10" s="146">
        <f>[2]SWCU!F12</f>
        <v>34.980231001219423</v>
      </c>
      <c r="I10" s="146">
        <f t="shared" si="0"/>
        <v>357314.48227646301</v>
      </c>
      <c r="J10" s="17"/>
      <c r="K10" s="43">
        <f>[2]SWDemand!E16</f>
        <v>230.24884999999995</v>
      </c>
      <c r="L10" s="43">
        <f>MAX([2]GWCU!E14*0.7,F10)</f>
        <v>109627.65672250003</v>
      </c>
      <c r="M10" s="157">
        <f>'[2]M&amp;I COHYST Summary'!D10</f>
        <v>1719.7699999999998</v>
      </c>
      <c r="N10" s="43">
        <f>MAX('[3]DS Demand'!I9,0)</f>
        <v>343811.01485422411</v>
      </c>
      <c r="O10" s="43">
        <f>MIN(273*3762-'NorthPlatte_NonIRR Season'!U10,P10)</f>
        <v>343811.01485422411</v>
      </c>
      <c r="P10" s="43">
        <f>'[1]South Platte Roscoe'!B12</f>
        <v>343811.01485422411</v>
      </c>
      <c r="Q10" s="62">
        <f>'[2]Net SW Loss'!H15</f>
        <v>2250.2100005100015</v>
      </c>
      <c r="R10" s="61">
        <f t="shared" si="1"/>
        <v>13379.387191237731</v>
      </c>
      <c r="S10" s="62">
        <f t="shared" si="2"/>
        <v>343811.01485422411</v>
      </c>
      <c r="T10" s="62">
        <f t="shared" si="3"/>
        <v>343811.01485422411</v>
      </c>
      <c r="U10" s="19"/>
      <c r="V10" s="62">
        <f t="shared" si="9"/>
        <v>405392.02575019584</v>
      </c>
      <c r="W10" s="62">
        <f t="shared" si="10"/>
        <v>405392.02575019584</v>
      </c>
      <c r="X10" s="62">
        <f t="shared" si="11"/>
        <v>471018.28761847183</v>
      </c>
      <c r="Y10" s="62">
        <f t="shared" si="12"/>
        <v>471018.28761847183</v>
      </c>
      <c r="Z10" s="131"/>
      <c r="AA10" s="62">
        <f t="shared" si="4"/>
        <v>-48077.543473732832</v>
      </c>
      <c r="AB10" s="62">
        <f t="shared" si="5"/>
        <v>-48077.543473732832</v>
      </c>
      <c r="AC10" s="62">
        <f t="shared" si="6"/>
        <v>-113703.80534200883</v>
      </c>
      <c r="AD10" s="62">
        <f t="shared" si="7"/>
        <v>-113703.80534200883</v>
      </c>
    </row>
    <row r="11" spans="1:30" x14ac:dyDescent="0.25">
      <c r="A11" s="38">
        <v>1991</v>
      </c>
      <c r="B11" s="146">
        <f>'[1]Capped Flow'!K10</f>
        <v>106217.10000000002</v>
      </c>
      <c r="C11" s="146">
        <f>'[1]Upper Platte Gage Data'!C11</f>
        <v>126167.58000000005</v>
      </c>
      <c r="D11" s="146">
        <f t="shared" si="8"/>
        <v>232384.68000000005</v>
      </c>
      <c r="E11" s="146">
        <f>'[2]Reservoir Evap'!E14+IF('[2]Reservoir Evap'!F14&gt;0, '[2]Reservoir Evap'!F14, 0)</f>
        <v>12553.964008741366</v>
      </c>
      <c r="F11" s="146">
        <f>'[2]GW Depletions'!I18</f>
        <v>47350.189425045915</v>
      </c>
      <c r="G11" s="146">
        <f>[2]SWCU!F13</f>
        <v>27.705639000522634</v>
      </c>
      <c r="I11" s="146">
        <f t="shared" si="0"/>
        <v>292316.53907278785</v>
      </c>
      <c r="J11" s="17"/>
      <c r="K11" s="43">
        <f>[2]SWDemand!E17</f>
        <v>211.81849000000011</v>
      </c>
      <c r="L11" s="43">
        <f>MAX([2]GWCU!E15*0.7,F11)</f>
        <v>99546.314851666539</v>
      </c>
      <c r="M11" s="157">
        <f>'[2]M&amp;I COHYST Summary'!D11</f>
        <v>1732.0099999999998</v>
      </c>
      <c r="N11" s="43">
        <f>MAX('[3]DS Demand'!I10,0)</f>
        <v>279735.85942504596</v>
      </c>
      <c r="O11" s="43">
        <f>MIN(273*3762-'NorthPlatte_NonIRR Season'!U11,P11)</f>
        <v>279735.85942504596</v>
      </c>
      <c r="P11" s="43">
        <f>'[1]South Platte Roscoe'!B13</f>
        <v>279735.85942504596</v>
      </c>
      <c r="Q11" s="62">
        <f>'[2]Net SW Loss'!H16</f>
        <v>2595.8499999900014</v>
      </c>
      <c r="R11" s="61">
        <f t="shared" si="1"/>
        <v>12553.964008741366</v>
      </c>
      <c r="S11" s="62">
        <f t="shared" si="2"/>
        <v>279735.85942504596</v>
      </c>
      <c r="T11" s="62">
        <f t="shared" si="3"/>
        <v>279735.85942504596</v>
      </c>
      <c r="U11" s="19"/>
      <c r="V11" s="62">
        <f t="shared" si="9"/>
        <v>344179.69134882325</v>
      </c>
      <c r="W11" s="62">
        <f t="shared" si="10"/>
        <v>344179.69134882325</v>
      </c>
      <c r="X11" s="62">
        <f t="shared" si="11"/>
        <v>396375.81677544391</v>
      </c>
      <c r="Y11" s="62">
        <f t="shared" si="12"/>
        <v>396375.81677544391</v>
      </c>
      <c r="Z11" s="131"/>
      <c r="AA11" s="62">
        <f t="shared" si="4"/>
        <v>-51863.152276035398</v>
      </c>
      <c r="AB11" s="62">
        <f t="shared" si="5"/>
        <v>-51863.152276035398</v>
      </c>
      <c r="AC11" s="62">
        <f t="shared" si="6"/>
        <v>-104059.27770265605</v>
      </c>
      <c r="AD11" s="62">
        <f t="shared" si="7"/>
        <v>-104059.27770265605</v>
      </c>
    </row>
    <row r="12" spans="1:30" x14ac:dyDescent="0.25">
      <c r="A12" s="38">
        <v>1992</v>
      </c>
      <c r="B12" s="146">
        <f>'[1]Capped Flow'!K11</f>
        <v>141191.82</v>
      </c>
      <c r="C12" s="146">
        <f>'[1]Upper Platte Gage Data'!C12</f>
        <v>185050.80000000008</v>
      </c>
      <c r="D12" s="146">
        <f t="shared" si="8"/>
        <v>326242.62000000011</v>
      </c>
      <c r="E12" s="146">
        <f>'[2]Reservoir Evap'!E15+IF('[2]Reservoir Evap'!F15&gt;0, '[2]Reservoir Evap'!F15, 0)</f>
        <v>12790.8812485899</v>
      </c>
      <c r="F12" s="146">
        <f>'[2]GW Depletions'!I19</f>
        <v>47287.362866965101</v>
      </c>
      <c r="G12" s="146">
        <f>[2]SWCU!F14</f>
        <v>348.09123050209064</v>
      </c>
      <c r="I12" s="146">
        <f t="shared" si="0"/>
        <v>386668.95534605725</v>
      </c>
      <c r="J12" s="17"/>
      <c r="K12" s="43">
        <f>[2]SWDemand!E18</f>
        <v>583.94586999999865</v>
      </c>
      <c r="L12" s="43">
        <f>MAX([2]GWCU!E16*0.7,F12)</f>
        <v>92731.547008333291</v>
      </c>
      <c r="M12" s="157">
        <f>'[2]M&amp;I COHYST Summary'!D12</f>
        <v>1732.6399999999999</v>
      </c>
      <c r="N12" s="43">
        <f>MAX('[3]DS Demand'!I11,0)</f>
        <v>373607.99486696516</v>
      </c>
      <c r="O12" s="43">
        <f>MIN(273*3762-'NorthPlatte_NonIRR Season'!U12,P12)</f>
        <v>373607.99486696516</v>
      </c>
      <c r="P12" s="43">
        <f>'[1]South Platte Roscoe'!B14</f>
        <v>373607.99486696516</v>
      </c>
      <c r="Q12" s="62">
        <f>'[2]Net SW Loss'!H17</f>
        <v>2633.8500001800012</v>
      </c>
      <c r="R12" s="61">
        <f t="shared" si="1"/>
        <v>12790.8812485899</v>
      </c>
      <c r="S12" s="62">
        <f t="shared" si="2"/>
        <v>373607.99486696516</v>
      </c>
      <c r="T12" s="62">
        <f t="shared" si="3"/>
        <v>373607.99486696516</v>
      </c>
      <c r="U12" s="19"/>
      <c r="V12" s="62">
        <f t="shared" si="9"/>
        <v>438636.67485270021</v>
      </c>
      <c r="W12" s="62">
        <f t="shared" si="10"/>
        <v>438636.67485270021</v>
      </c>
      <c r="X12" s="62">
        <f t="shared" si="11"/>
        <v>484080.8589940684</v>
      </c>
      <c r="Y12" s="62">
        <f t="shared" si="12"/>
        <v>484080.8589940684</v>
      </c>
      <c r="Z12" s="131"/>
      <c r="AA12" s="62">
        <f t="shared" si="4"/>
        <v>-51967.719506642956</v>
      </c>
      <c r="AB12" s="62">
        <f t="shared" si="5"/>
        <v>-51967.719506642956</v>
      </c>
      <c r="AC12" s="62">
        <f t="shared" si="6"/>
        <v>-97411.903648011154</v>
      </c>
      <c r="AD12" s="62">
        <f t="shared" si="7"/>
        <v>-97411.903648011154</v>
      </c>
    </row>
    <row r="13" spans="1:30" x14ac:dyDescent="0.25">
      <c r="A13" s="38">
        <v>1993</v>
      </c>
      <c r="B13" s="146">
        <f>'[1]Capped Flow'!K12</f>
        <v>185345.82</v>
      </c>
      <c r="C13" s="146">
        <f>'[1]Upper Platte Gage Data'!C13</f>
        <v>225357.66000000003</v>
      </c>
      <c r="D13" s="146">
        <f t="shared" si="8"/>
        <v>410703.48000000004</v>
      </c>
      <c r="E13" s="146">
        <f>'[2]Reservoir Evap'!E16+IF('[2]Reservoir Evap'!F16&gt;0, '[2]Reservoir Evap'!F16, 0)</f>
        <v>14273.974851409977</v>
      </c>
      <c r="F13" s="146">
        <f>'[2]GW Depletions'!I20</f>
        <v>46728.438064393937</v>
      </c>
      <c r="G13" s="146">
        <f>[2]SWCU!F15</f>
        <v>7.3660470005661471</v>
      </c>
      <c r="I13" s="146">
        <f t="shared" si="0"/>
        <v>471713.25896280451</v>
      </c>
      <c r="J13" s="17"/>
      <c r="K13" s="43">
        <f>[2]SWDemand!E19</f>
        <v>115.44703000000004</v>
      </c>
      <c r="L13" s="43">
        <f>MAX([2]GWCU!E17*0.7,F13)</f>
        <v>80719.416516666577</v>
      </c>
      <c r="M13" s="157">
        <f>'[2]M&amp;I COHYST Summary'!D13</f>
        <v>1738.8799999999999</v>
      </c>
      <c r="N13" s="43">
        <f>MAX('[3]DS Demand'!I12,0)</f>
        <v>401791.48025608354</v>
      </c>
      <c r="O13" s="43">
        <f>MIN(273*3762-'NorthPlatte_NonIRR Season'!U13,P13)</f>
        <v>401791.48025608354</v>
      </c>
      <c r="P13" s="43">
        <f>'[1]South Platte Roscoe'!B15</f>
        <v>455556.8580643938</v>
      </c>
      <c r="Q13" s="62">
        <f>'[2]Net SW Loss'!H18</f>
        <v>2859.8999999700018</v>
      </c>
      <c r="R13" s="61">
        <f t="shared" si="1"/>
        <v>14273.974851409977</v>
      </c>
      <c r="S13" s="62">
        <f t="shared" si="2"/>
        <v>401791.48025608354</v>
      </c>
      <c r="T13" s="62">
        <f t="shared" si="3"/>
        <v>455556.8580643938</v>
      </c>
      <c r="U13" s="19"/>
      <c r="V13" s="62">
        <f t="shared" si="9"/>
        <v>467508.12020185741</v>
      </c>
      <c r="W13" s="62">
        <f t="shared" si="10"/>
        <v>521273.49801016768</v>
      </c>
      <c r="X13" s="62">
        <f t="shared" si="11"/>
        <v>501499.09865413007</v>
      </c>
      <c r="Y13" s="62">
        <f t="shared" si="12"/>
        <v>555264.47646244033</v>
      </c>
      <c r="Z13" s="131"/>
      <c r="AA13" s="62">
        <f t="shared" si="4"/>
        <v>4205.1387609470985</v>
      </c>
      <c r="AB13" s="62">
        <f t="shared" si="5"/>
        <v>-49560.239047363168</v>
      </c>
      <c r="AC13" s="62">
        <f t="shared" si="6"/>
        <v>-29785.839691325556</v>
      </c>
      <c r="AD13" s="62">
        <f t="shared" si="7"/>
        <v>-83551.217499635823</v>
      </c>
    </row>
    <row r="14" spans="1:30" x14ac:dyDescent="0.25">
      <c r="A14" s="38">
        <v>1994</v>
      </c>
      <c r="B14" s="146">
        <f>'[1]Capped Flow'!K13</f>
        <v>151804.62000000008</v>
      </c>
      <c r="C14" s="146">
        <f>'[1]Upper Platte Gage Data'!C14</f>
        <v>162510.48000000004</v>
      </c>
      <c r="D14" s="146">
        <f t="shared" si="8"/>
        <v>314315.10000000009</v>
      </c>
      <c r="E14" s="146">
        <f>'[2]Reservoir Evap'!E17+IF('[2]Reservoir Evap'!F17&gt;0, '[2]Reservoir Evap'!F17, 0)</f>
        <v>13029.731508484021</v>
      </c>
      <c r="F14" s="146">
        <f>'[2]GW Depletions'!I21</f>
        <v>45219.408979224056</v>
      </c>
      <c r="G14" s="146">
        <f>[2]SWCU!F16</f>
        <v>0</v>
      </c>
      <c r="I14" s="146">
        <f t="shared" si="0"/>
        <v>372564.24048770813</v>
      </c>
      <c r="J14" s="17"/>
      <c r="K14" s="43">
        <f>[2]SWDemand!E20</f>
        <v>165.19855000000007</v>
      </c>
      <c r="L14" s="43">
        <f>MAX([2]GWCU!E18*0.7,F14)</f>
        <v>111398.67164416664</v>
      </c>
      <c r="M14" s="157">
        <f>'[2]M&amp;I COHYST Summary'!D14</f>
        <v>1586.4499999999998</v>
      </c>
      <c r="N14" s="43">
        <f>MAX('[3]DS Demand'!I13,0)</f>
        <v>300093.34608450416</v>
      </c>
      <c r="O14" s="43">
        <f>MIN(273*3762-'NorthPlatte_NonIRR Season'!U14,P14)</f>
        <v>300093.34608450416</v>
      </c>
      <c r="P14" s="43">
        <f>'[1]South Platte Roscoe'!B16</f>
        <v>359597.86897922412</v>
      </c>
      <c r="Q14" s="62">
        <f>'[2]Net SW Loss'!H19</f>
        <v>1820.5199998049977</v>
      </c>
      <c r="R14" s="61">
        <f t="shared" si="1"/>
        <v>13029.731508484021</v>
      </c>
      <c r="S14" s="62">
        <f t="shared" si="2"/>
        <v>300093.34608450416</v>
      </c>
      <c r="T14" s="62">
        <f t="shared" si="3"/>
        <v>359597.86897922412</v>
      </c>
      <c r="U14" s="19"/>
      <c r="V14" s="62">
        <f t="shared" si="9"/>
        <v>361914.6551220172</v>
      </c>
      <c r="W14" s="62">
        <f t="shared" si="10"/>
        <v>421419.17801673716</v>
      </c>
      <c r="X14" s="62">
        <f t="shared" si="11"/>
        <v>428093.91778695979</v>
      </c>
      <c r="Y14" s="62">
        <f t="shared" si="12"/>
        <v>487598.44068167976</v>
      </c>
      <c r="Z14" s="131"/>
      <c r="AA14" s="62">
        <f t="shared" si="4"/>
        <v>10649.585365690931</v>
      </c>
      <c r="AB14" s="62">
        <f t="shared" si="5"/>
        <v>-48854.937529029034</v>
      </c>
      <c r="AC14" s="62">
        <f t="shared" si="6"/>
        <v>-55529.677299251663</v>
      </c>
      <c r="AD14" s="62">
        <f t="shared" si="7"/>
        <v>-115034.20019397163</v>
      </c>
    </row>
    <row r="15" spans="1:30" x14ac:dyDescent="0.25">
      <c r="A15" s="38">
        <v>1995</v>
      </c>
      <c r="B15" s="146">
        <f>'[1]Capped Flow'!K14</f>
        <v>117669.42</v>
      </c>
      <c r="C15" s="146">
        <f>'[1]Upper Platte Gage Data'!C15</f>
        <v>71745.299999999988</v>
      </c>
      <c r="D15" s="146">
        <f t="shared" si="8"/>
        <v>189414.71999999997</v>
      </c>
      <c r="E15" s="146">
        <f>'[2]Reservoir Evap'!E18+IF('[2]Reservoir Evap'!F18&gt;0, '[2]Reservoir Evap'!F18, 0)</f>
        <v>8628.3790141252866</v>
      </c>
      <c r="F15" s="146">
        <f>'[2]GW Depletions'!I22</f>
        <v>46888.053933884301</v>
      </c>
      <c r="G15" s="146">
        <f>[2]SWCU!F17</f>
        <v>127.06365750113221</v>
      </c>
      <c r="I15" s="146">
        <f t="shared" si="0"/>
        <v>245058.21660551071</v>
      </c>
      <c r="J15" s="17"/>
      <c r="K15" s="43">
        <f>[2]SWDemand!E21</f>
        <v>206.68427999999994</v>
      </c>
      <c r="L15" s="43">
        <f>MAX([2]GWCU!E19*0.7,F15)</f>
        <v>95339.597803333338</v>
      </c>
      <c r="M15" s="157">
        <f>'[2]M&amp;I COHYST Summary'!D15</f>
        <v>1427.0399999999997</v>
      </c>
      <c r="N15" s="43">
        <f>MAX('[3]DS Demand'!I14,0)</f>
        <v>249093.43533388432</v>
      </c>
      <c r="O15" s="43">
        <f>MIN(273*3762-'NorthPlatte_NonIRR Season'!U15,P15)</f>
        <v>249093.43533388432</v>
      </c>
      <c r="P15" s="43">
        <f>'[1]South Platte Roscoe'!B17</f>
        <v>249093.43533388432</v>
      </c>
      <c r="Q15" s="62">
        <f>'[2]Net SW Loss'!H20</f>
        <v>2776.1200000499975</v>
      </c>
      <c r="R15" s="61">
        <f t="shared" si="1"/>
        <v>8628.3790141252866</v>
      </c>
      <c r="S15" s="62">
        <f t="shared" si="2"/>
        <v>249093.43533388432</v>
      </c>
      <c r="T15" s="62">
        <f t="shared" si="3"/>
        <v>249093.43533388432</v>
      </c>
      <c r="U15" s="19"/>
      <c r="V15" s="62">
        <f t="shared" si="9"/>
        <v>309019.71256194386</v>
      </c>
      <c r="W15" s="62">
        <f t="shared" si="10"/>
        <v>309019.71256194386</v>
      </c>
      <c r="X15" s="62">
        <f t="shared" si="11"/>
        <v>357471.25643139286</v>
      </c>
      <c r="Y15" s="62">
        <f t="shared" si="12"/>
        <v>357471.25643139286</v>
      </c>
      <c r="Z15" s="131"/>
      <c r="AA15" s="62">
        <f t="shared" si="4"/>
        <v>-63961.495956433151</v>
      </c>
      <c r="AB15" s="62">
        <f t="shared" si="5"/>
        <v>-63961.495956433151</v>
      </c>
      <c r="AC15" s="62">
        <f t="shared" si="6"/>
        <v>-112413.03982588215</v>
      </c>
      <c r="AD15" s="62">
        <f t="shared" si="7"/>
        <v>-112413.03982588215</v>
      </c>
    </row>
    <row r="16" spans="1:30" x14ac:dyDescent="0.25">
      <c r="A16" s="38">
        <v>1996</v>
      </c>
      <c r="B16" s="146">
        <f>'[1]Capped Flow'!K15</f>
        <v>170636.39999999991</v>
      </c>
      <c r="C16" s="146">
        <f>'[1]Upper Platte Gage Data'!C16</f>
        <v>215513.09999999998</v>
      </c>
      <c r="D16" s="146">
        <f t="shared" si="8"/>
        <v>386149.49999999988</v>
      </c>
      <c r="E16" s="146">
        <f>'[2]Reservoir Evap'!E19+IF('[2]Reservoir Evap'!F19&gt;0, '[2]Reservoir Evap'!F19, 0)</f>
        <v>12832.633094224344</v>
      </c>
      <c r="F16" s="146">
        <f>'[2]GW Depletions'!I23</f>
        <v>47929.43442389807</v>
      </c>
      <c r="G16" s="146">
        <f>[2]SWCU!F18</f>
        <v>62.559575000217755</v>
      </c>
      <c r="I16" s="146">
        <f t="shared" si="0"/>
        <v>446974.12709312246</v>
      </c>
      <c r="J16" s="17"/>
      <c r="K16" s="43">
        <f>[2]SWDemand!E22</f>
        <v>118.44058999999993</v>
      </c>
      <c r="L16" s="43">
        <f>MAX([2]GWCU!E20*0.7,F16)</f>
        <v>84349.268809166562</v>
      </c>
      <c r="M16" s="157">
        <f>'[2]M&amp;I COHYST Summary'!D16</f>
        <v>1430</v>
      </c>
      <c r="N16" s="43">
        <f>MAX('[3]DS Demand'!I15,0)</f>
        <v>284249.12521663558</v>
      </c>
      <c r="O16" s="43">
        <f>MIN(273*3762-'NorthPlatte_NonIRR Season'!U16,P16)</f>
        <v>255851.21674137039</v>
      </c>
      <c r="P16" s="43">
        <f>'[1]South Platte Roscoe'!B18</f>
        <v>435825.29442389804</v>
      </c>
      <c r="Q16" s="62">
        <f>'[2]Net SW Loss'!H21</f>
        <v>2890.7900002800025</v>
      </c>
      <c r="R16" s="61">
        <f t="shared" si="1"/>
        <v>12832.633094224344</v>
      </c>
      <c r="S16" s="62">
        <f t="shared" si="2"/>
        <v>284249.12521663558</v>
      </c>
      <c r="T16" s="62">
        <f t="shared" si="3"/>
        <v>435825.29442389804</v>
      </c>
      <c r="U16" s="19"/>
      <c r="V16" s="62">
        <f t="shared" si="9"/>
        <v>349450.42332503799</v>
      </c>
      <c r="W16" s="62">
        <f t="shared" si="10"/>
        <v>501026.59253230045</v>
      </c>
      <c r="X16" s="62">
        <f t="shared" si="11"/>
        <v>385870.2577103065</v>
      </c>
      <c r="Y16" s="62">
        <f t="shared" si="12"/>
        <v>537446.42691756901</v>
      </c>
      <c r="Z16" s="131"/>
      <c r="AA16" s="62">
        <f t="shared" si="4"/>
        <v>97523.703768084466</v>
      </c>
      <c r="AB16" s="62">
        <f t="shared" si="5"/>
        <v>-54052.465439177991</v>
      </c>
      <c r="AC16" s="62">
        <f t="shared" si="6"/>
        <v>61103.869382815959</v>
      </c>
      <c r="AD16" s="62">
        <f t="shared" si="7"/>
        <v>-90472.299824446556</v>
      </c>
    </row>
    <row r="17" spans="1:30" x14ac:dyDescent="0.25">
      <c r="A17" s="38">
        <v>1997</v>
      </c>
      <c r="B17" s="146">
        <f>'[1]Capped Flow'!K16</f>
        <v>221389.74</v>
      </c>
      <c r="C17" s="146">
        <f>'[1]Upper Platte Gage Data'!C17</f>
        <v>219421.81799999997</v>
      </c>
      <c r="D17" s="146">
        <f t="shared" si="8"/>
        <v>440811.55799999996</v>
      </c>
      <c r="E17" s="146">
        <f>'[2]Reservoir Evap'!E20+IF('[2]Reservoir Evap'!F20&gt;0, '[2]Reservoir Evap'!F20, 0)</f>
        <v>11435.977799413424</v>
      </c>
      <c r="F17" s="146">
        <f>'[2]GW Depletions'!I24</f>
        <v>46782.184829430676</v>
      </c>
      <c r="G17" s="146">
        <f>[2]SWCU!F19</f>
        <v>319.99277050322297</v>
      </c>
      <c r="I17" s="146">
        <f t="shared" si="0"/>
        <v>499349.71339934727</v>
      </c>
      <c r="J17" s="17"/>
      <c r="K17" s="43">
        <f>[2]SWDemand!E23</f>
        <v>554.51611999999932</v>
      </c>
      <c r="L17" s="43">
        <f>MAX([2]GWCU!E21*0.7,F17)</f>
        <v>106573.57936749991</v>
      </c>
      <c r="M17" s="157">
        <f>'[2]M&amp;I COHYST Summary'!D17</f>
        <v>1434.54</v>
      </c>
      <c r="N17" s="43">
        <f>MAX('[3]DS Demand'!I16,0)</f>
        <v>238062.71779709897</v>
      </c>
      <c r="O17" s="43">
        <f>MIN(273*3762-'NorthPlatte_NonIRR Season'!U17,P17)</f>
        <v>81081</v>
      </c>
      <c r="P17" s="43">
        <f>'[1]South Platte Roscoe'!B19</f>
        <v>459459</v>
      </c>
      <c r="Q17" s="62">
        <f>'[2]Net SW Loss'!H22</f>
        <v>2888.9400003000001</v>
      </c>
      <c r="R17" s="61">
        <f t="shared" si="1"/>
        <v>11435.977799413424</v>
      </c>
      <c r="S17" s="62">
        <f t="shared" si="2"/>
        <v>238062.71779709897</v>
      </c>
      <c r="T17" s="62">
        <f t="shared" si="3"/>
        <v>459459</v>
      </c>
      <c r="U17" s="19"/>
      <c r="V17" s="62">
        <f t="shared" si="9"/>
        <v>301158.87654624303</v>
      </c>
      <c r="W17" s="62">
        <f t="shared" si="10"/>
        <v>522555.15874914406</v>
      </c>
      <c r="X17" s="62">
        <f t="shared" si="11"/>
        <v>360950.27108431229</v>
      </c>
      <c r="Y17" s="62">
        <f t="shared" si="12"/>
        <v>582346.55328721332</v>
      </c>
      <c r="Z17" s="131"/>
      <c r="AA17" s="62">
        <f t="shared" si="4"/>
        <v>198190.83685310424</v>
      </c>
      <c r="AB17" s="62">
        <f t="shared" si="5"/>
        <v>-23205.445349796792</v>
      </c>
      <c r="AC17" s="62">
        <f t="shared" si="6"/>
        <v>138399.44231503498</v>
      </c>
      <c r="AD17" s="62">
        <f t="shared" si="7"/>
        <v>-82996.839887866052</v>
      </c>
    </row>
    <row r="18" spans="1:30" x14ac:dyDescent="0.25">
      <c r="A18" s="38">
        <v>1998</v>
      </c>
      <c r="B18" s="146">
        <f>'[1]Capped Flow'!K17</f>
        <v>365852.52</v>
      </c>
      <c r="C18" s="146">
        <f>'[1]Upper Platte Gage Data'!C18</f>
        <v>321053.03999999986</v>
      </c>
      <c r="D18" s="146">
        <f t="shared" si="8"/>
        <v>686905.55999999982</v>
      </c>
      <c r="E18" s="146">
        <f>'[2]Reservoir Evap'!E21+IF('[2]Reservoir Evap'!F21&gt;0, '[2]Reservoir Evap'!F21, 0)</f>
        <v>11095.038356222687</v>
      </c>
      <c r="F18" s="146">
        <f>'[2]GW Depletions'!I25</f>
        <v>48265.665889807162</v>
      </c>
      <c r="G18" s="146">
        <f>[2]SWCU!F20</f>
        <v>118.70249299799666</v>
      </c>
      <c r="I18" s="146">
        <f t="shared" si="0"/>
        <v>746384.96673902764</v>
      </c>
      <c r="J18" s="17"/>
      <c r="K18" s="43">
        <f>[2]SWDemand!E24</f>
        <v>233.33218999999963</v>
      </c>
      <c r="L18" s="43">
        <f>MAX([2]GWCU!E22*0.7,F18)</f>
        <v>102363.51963833337</v>
      </c>
      <c r="M18" s="157">
        <f>'[2]M&amp;I COHYST Summary'!D18</f>
        <v>1436.1599999999999</v>
      </c>
      <c r="N18" s="43">
        <f>MAX('[3]DS Demand'!I17,0)</f>
        <v>313869.64661546022</v>
      </c>
      <c r="O18" s="43">
        <f>MIN(273*3762-'NorthPlatte_NonIRR Season'!U18,P18)</f>
        <v>81081</v>
      </c>
      <c r="P18" s="43">
        <f>'[1]South Platte Roscoe'!B20</f>
        <v>459459</v>
      </c>
      <c r="Q18" s="62">
        <f>'[2]Net SW Loss'!H23</f>
        <v>2775.0500000399984</v>
      </c>
      <c r="R18" s="61">
        <f t="shared" si="1"/>
        <v>11095.038356222687</v>
      </c>
      <c r="S18" s="62">
        <f t="shared" si="2"/>
        <v>313869.64661546022</v>
      </c>
      <c r="T18" s="62">
        <f t="shared" si="3"/>
        <v>459459</v>
      </c>
      <c r="U18" s="19"/>
      <c r="V18" s="62">
        <f t="shared" si="9"/>
        <v>377674.89305153</v>
      </c>
      <c r="W18" s="62">
        <f t="shared" si="10"/>
        <v>523264.24643606978</v>
      </c>
      <c r="X18" s="62">
        <f t="shared" si="11"/>
        <v>431772.74680005619</v>
      </c>
      <c r="Y18" s="62">
        <f t="shared" si="12"/>
        <v>577362.10018459603</v>
      </c>
      <c r="Z18" s="131"/>
      <c r="AA18" s="62">
        <f t="shared" si="4"/>
        <v>368710.07368749764</v>
      </c>
      <c r="AB18" s="62">
        <f t="shared" si="5"/>
        <v>223120.72030295787</v>
      </c>
      <c r="AC18" s="62">
        <f t="shared" si="6"/>
        <v>314612.21993897145</v>
      </c>
      <c r="AD18" s="62">
        <f t="shared" si="7"/>
        <v>169022.86655443162</v>
      </c>
    </row>
    <row r="19" spans="1:30" x14ac:dyDescent="0.25">
      <c r="A19" s="38">
        <v>1999</v>
      </c>
      <c r="B19" s="146">
        <f>'[1]Capped Flow'!K18</f>
        <v>219667.14</v>
      </c>
      <c r="C19" s="146">
        <f>'[1]Upper Platte Gage Data'!C19</f>
        <v>253085.58000000002</v>
      </c>
      <c r="D19" s="146">
        <f t="shared" si="8"/>
        <v>472752.72000000003</v>
      </c>
      <c r="E19" s="146">
        <f>'[2]Reservoir Evap'!E22+IF('[2]Reservoir Evap'!F22&gt;0, '[2]Reservoir Evap'!F22, 0)</f>
        <v>11916.283591077519</v>
      </c>
      <c r="F19" s="146">
        <f>'[2]GW Depletions'!I26</f>
        <v>49520.700871441688</v>
      </c>
      <c r="G19" s="146">
        <f>[2]SWCU!F21</f>
        <v>238.66837150352757</v>
      </c>
      <c r="I19" s="146">
        <f t="shared" si="0"/>
        <v>534428.37283402274</v>
      </c>
      <c r="J19" s="17"/>
      <c r="K19" s="43">
        <f>[2]SWDemand!E25</f>
        <v>367.32214000000022</v>
      </c>
      <c r="L19" s="43">
        <f>MAX([2]GWCU!E23*0.7,F19)</f>
        <v>94053.875160000098</v>
      </c>
      <c r="M19" s="157">
        <f>'[2]M&amp;I COHYST Summary'!D19</f>
        <v>1437.4499999999998</v>
      </c>
      <c r="N19" s="43">
        <f>MAX('[3]DS Demand'!I18,0)</f>
        <v>272952.8874561665</v>
      </c>
      <c r="O19" s="43">
        <f>MIN(273*3762-'NorthPlatte_NonIRR Season'!U19,P19)</f>
        <v>81081</v>
      </c>
      <c r="P19" s="43">
        <f>'[1]South Platte Roscoe'!B21</f>
        <v>459459</v>
      </c>
      <c r="Q19" s="62">
        <f>'[2]Net SW Loss'!H24</f>
        <v>2771.9799999899969</v>
      </c>
      <c r="R19" s="61">
        <f t="shared" si="1"/>
        <v>11916.283591077519</v>
      </c>
      <c r="S19" s="62">
        <f t="shared" si="2"/>
        <v>272952.8874561665</v>
      </c>
      <c r="T19" s="62">
        <f t="shared" si="3"/>
        <v>459459</v>
      </c>
      <c r="U19" s="19"/>
      <c r="V19" s="62">
        <f t="shared" si="9"/>
        <v>338966.62405867572</v>
      </c>
      <c r="W19" s="62">
        <f t="shared" si="10"/>
        <v>525472.73660250916</v>
      </c>
      <c r="X19" s="62">
        <f t="shared" si="11"/>
        <v>383499.79834723414</v>
      </c>
      <c r="Y19" s="62">
        <f t="shared" si="12"/>
        <v>570005.91089106759</v>
      </c>
      <c r="Z19" s="131"/>
      <c r="AA19" s="62">
        <f t="shared" si="4"/>
        <v>195461.74877534702</v>
      </c>
      <c r="AB19" s="62">
        <f t="shared" si="5"/>
        <v>8955.6362315135775</v>
      </c>
      <c r="AC19" s="62">
        <f t="shared" si="6"/>
        <v>150928.5744867886</v>
      </c>
      <c r="AD19" s="62">
        <f t="shared" si="7"/>
        <v>-35577.538057044847</v>
      </c>
    </row>
    <row r="20" spans="1:30" x14ac:dyDescent="0.25">
      <c r="A20" s="38">
        <v>2000</v>
      </c>
      <c r="B20" s="146">
        <f>'[1]Capped Flow'!K19</f>
        <v>327955.31999999995</v>
      </c>
      <c r="C20" s="146">
        <f>'[1]Upper Platte Gage Data'!C20</f>
        <v>213226.2</v>
      </c>
      <c r="D20" s="146">
        <f t="shared" si="8"/>
        <v>541181.52</v>
      </c>
      <c r="E20" s="146">
        <f>'[2]Reservoir Evap'!E23+IF('[2]Reservoir Evap'!F23&gt;0, '[2]Reservoir Evap'!F23, 0)</f>
        <v>14043.408613503967</v>
      </c>
      <c r="F20" s="146">
        <f>'[2]GW Depletions'!I27</f>
        <v>49916.583999081733</v>
      </c>
      <c r="G20" s="146">
        <f>[2]SWCU!F22</f>
        <v>2.5646594999564525</v>
      </c>
      <c r="I20" s="146">
        <f t="shared" si="0"/>
        <v>605144.07727208559</v>
      </c>
      <c r="J20" s="17"/>
      <c r="K20" s="43">
        <f>[2]SWDemand!E26</f>
        <v>191.76941000000033</v>
      </c>
      <c r="L20" s="43">
        <f>MAX([2]GWCU!E24*0.7,F20)</f>
        <v>131935.03492750018</v>
      </c>
      <c r="M20" s="157">
        <f>'[2]M&amp;I COHYST Summary'!D20</f>
        <v>1458.7599999999998</v>
      </c>
      <c r="N20" s="43">
        <f>MAX('[3]DS Demand'!I19,0)</f>
        <v>311822.84299490432</v>
      </c>
      <c r="O20" s="43">
        <f>MIN(273*3762-'NorthPlatte_NonIRR Season'!U20,P20)</f>
        <v>185573.97610417136</v>
      </c>
      <c r="P20" s="43">
        <f>'[1]South Platte Roscoe'!B22</f>
        <v>459459</v>
      </c>
      <c r="Q20" s="62">
        <f>'[2]Net SW Loss'!H25</f>
        <v>2664.0500001000028</v>
      </c>
      <c r="R20" s="61">
        <f t="shared" si="1"/>
        <v>14043.408613503967</v>
      </c>
      <c r="S20" s="62">
        <f t="shared" si="2"/>
        <v>311822.84299490432</v>
      </c>
      <c r="T20" s="62">
        <f t="shared" si="3"/>
        <v>459459</v>
      </c>
      <c r="U20" s="19"/>
      <c r="V20" s="62">
        <f t="shared" si="9"/>
        <v>380097.41501759004</v>
      </c>
      <c r="W20" s="62">
        <f t="shared" si="10"/>
        <v>527733.57202268566</v>
      </c>
      <c r="X20" s="62">
        <f t="shared" si="11"/>
        <v>462115.86594600847</v>
      </c>
      <c r="Y20" s="62">
        <f t="shared" si="12"/>
        <v>609752.0229511041</v>
      </c>
      <c r="Z20" s="131"/>
      <c r="AA20" s="62">
        <f t="shared" si="4"/>
        <v>225046.66225449555</v>
      </c>
      <c r="AB20" s="62">
        <f t="shared" si="5"/>
        <v>77410.505249399925</v>
      </c>
      <c r="AC20" s="62">
        <f t="shared" si="6"/>
        <v>143028.21132607711</v>
      </c>
      <c r="AD20" s="62">
        <f t="shared" si="7"/>
        <v>-4607.9456790185068</v>
      </c>
    </row>
    <row r="21" spans="1:30" x14ac:dyDescent="0.25">
      <c r="A21" s="38">
        <v>2001</v>
      </c>
      <c r="B21" s="146">
        <f>'[1]Capped Flow'!K20</f>
        <v>156184.38000000006</v>
      </c>
      <c r="C21" s="146">
        <f>'[1]Upper Platte Gage Data'!C21</f>
        <v>60883.02</v>
      </c>
      <c r="D21" s="146">
        <f t="shared" si="8"/>
        <v>217067.40000000005</v>
      </c>
      <c r="E21" s="146">
        <f>'[2]Reservoir Evap'!E24+IF('[2]Reservoir Evap'!F24&gt;0, '[2]Reservoir Evap'!F24, 0)</f>
        <v>12512.973251442609</v>
      </c>
      <c r="F21" s="146">
        <f>'[2]GW Depletions'!I28</f>
        <v>53205.589317263541</v>
      </c>
      <c r="G21" s="146">
        <f>[2]SWCU!F23</f>
        <v>60.446964500914582</v>
      </c>
      <c r="I21" s="146">
        <f t="shared" si="0"/>
        <v>282846.40953320713</v>
      </c>
      <c r="J21" s="17"/>
      <c r="K21" s="43">
        <f>[2]SWDemand!E27</f>
        <v>303.13479999999981</v>
      </c>
      <c r="L21" s="43">
        <f>MAX([2]GWCU!E25*0.7,F21)</f>
        <v>106994.96983583354</v>
      </c>
      <c r="M21" s="157">
        <f>'[2]M&amp;I COHYST Summary'!D21</f>
        <v>1471.1399999999999</v>
      </c>
      <c r="N21" s="43">
        <f>MAX('[3]DS Demand'!I20,0)</f>
        <v>270482.86931726348</v>
      </c>
      <c r="O21" s="43">
        <f>MIN(273*3762-'NorthPlatte_NonIRR Season'!U21,P21)</f>
        <v>270482.86931726348</v>
      </c>
      <c r="P21" s="43">
        <f>'[1]South Platte Roscoe'!B23</f>
        <v>270482.86931726348</v>
      </c>
      <c r="Q21" s="62">
        <f>'[2]Net SW Loss'!H26</f>
        <v>2502.7500001800026</v>
      </c>
      <c r="R21" s="61">
        <f t="shared" si="1"/>
        <v>12512.973251442609</v>
      </c>
      <c r="S21" s="62">
        <f t="shared" si="2"/>
        <v>270482.86931726348</v>
      </c>
      <c r="T21" s="62">
        <f t="shared" si="3"/>
        <v>270482.86931726348</v>
      </c>
      <c r="U21" s="19"/>
      <c r="V21" s="62">
        <f t="shared" si="9"/>
        <v>340478.45668614964</v>
      </c>
      <c r="W21" s="62">
        <f t="shared" si="10"/>
        <v>340478.45668614964</v>
      </c>
      <c r="X21" s="62">
        <f t="shared" si="11"/>
        <v>394267.8372047196</v>
      </c>
      <c r="Y21" s="62">
        <f t="shared" si="12"/>
        <v>394267.8372047196</v>
      </c>
      <c r="Z21" s="131"/>
      <c r="AA21" s="62">
        <f t="shared" si="4"/>
        <v>-57632.047152942512</v>
      </c>
      <c r="AB21" s="62">
        <f t="shared" si="5"/>
        <v>-57632.047152942512</v>
      </c>
      <c r="AC21" s="62">
        <f t="shared" si="6"/>
        <v>-111421.42767151247</v>
      </c>
      <c r="AD21" s="62">
        <f t="shared" si="7"/>
        <v>-111421.42767151247</v>
      </c>
    </row>
    <row r="22" spans="1:30" x14ac:dyDescent="0.25">
      <c r="A22" s="38">
        <v>2002</v>
      </c>
      <c r="B22" s="146">
        <f>'[1]Capped Flow'!K21</f>
        <v>92580.84</v>
      </c>
      <c r="C22" s="146">
        <f>'[1]Upper Platte Gage Data'!C22</f>
        <v>53309.520000000004</v>
      </c>
      <c r="D22" s="146">
        <f t="shared" si="8"/>
        <v>145890.35999999999</v>
      </c>
      <c r="E22" s="146">
        <f>'[2]Reservoir Evap'!E25+IF('[2]Reservoir Evap'!F25&gt;0, '[2]Reservoir Evap'!F25, 0)</f>
        <v>14264.729733357512</v>
      </c>
      <c r="F22" s="146">
        <f>'[2]GW Depletions'!I29</f>
        <v>54499.922481864094</v>
      </c>
      <c r="G22" s="146">
        <f>[2]SWCU!F24</f>
        <v>1.2886445005661482</v>
      </c>
      <c r="I22" s="146">
        <f t="shared" si="0"/>
        <v>214656.30085972216</v>
      </c>
      <c r="J22" s="17"/>
      <c r="K22" s="43">
        <f>[2]SWDemand!E28</f>
        <v>162.47432999999955</v>
      </c>
      <c r="L22" s="43">
        <f>MAX([2]GWCU!E26*0.7,F22)</f>
        <v>165396.22584333338</v>
      </c>
      <c r="M22" s="157">
        <f>'[2]M&amp;I COHYST Summary'!D22</f>
        <v>1471.4999999999998</v>
      </c>
      <c r="N22" s="43">
        <f>MAX('[3]DS Demand'!I21,0)</f>
        <v>200399.98448186408</v>
      </c>
      <c r="O22" s="43">
        <f>MIN(273*3762-'NorthPlatte_NonIRR Season'!U22,P22)</f>
        <v>200399.98448186408</v>
      </c>
      <c r="P22" s="43">
        <f>'[1]South Platte Roscoe'!B24</f>
        <v>200399.98448186408</v>
      </c>
      <c r="Q22" s="62">
        <f>'[2]Net SW Loss'!H27</f>
        <v>1432.0499999699996</v>
      </c>
      <c r="R22" s="61">
        <f t="shared" si="1"/>
        <v>14264.729733357512</v>
      </c>
      <c r="S22" s="62">
        <f t="shared" si="2"/>
        <v>200399.98448186408</v>
      </c>
      <c r="T22" s="62">
        <f t="shared" si="3"/>
        <v>200399.98448186408</v>
      </c>
      <c r="U22" s="19"/>
      <c r="V22" s="62">
        <f t="shared" si="9"/>
        <v>272230.6610270557</v>
      </c>
      <c r="W22" s="62">
        <f t="shared" si="10"/>
        <v>272230.6610270557</v>
      </c>
      <c r="X22" s="62">
        <f t="shared" si="11"/>
        <v>383126.96438852494</v>
      </c>
      <c r="Y22" s="62">
        <f t="shared" si="12"/>
        <v>383126.96438852494</v>
      </c>
      <c r="Z22" s="131"/>
      <c r="AA22" s="62">
        <f t="shared" si="4"/>
        <v>-57574.360167333536</v>
      </c>
      <c r="AB22" s="62">
        <f t="shared" si="5"/>
        <v>-57574.360167333536</v>
      </c>
      <c r="AC22" s="62">
        <f t="shared" si="6"/>
        <v>-168470.66352880278</v>
      </c>
      <c r="AD22" s="62">
        <f t="shared" si="7"/>
        <v>-168470.66352880278</v>
      </c>
    </row>
    <row r="23" spans="1:30" x14ac:dyDescent="0.25">
      <c r="A23" s="38">
        <v>2003</v>
      </c>
      <c r="B23" s="146">
        <f>'[1]Capped Flow'!K22</f>
        <v>58800.06</v>
      </c>
      <c r="C23" s="146">
        <f>'[1]Upper Platte Gage Data'!C23</f>
        <v>10948.607999999995</v>
      </c>
      <c r="D23" s="146">
        <f t="shared" si="8"/>
        <v>69748.667999999991</v>
      </c>
      <c r="E23" s="146">
        <f>'[2]Reservoir Evap'!E26+IF('[2]Reservoir Evap'!F26&gt;0, '[2]Reservoir Evap'!F26, 0)</f>
        <v>13475.536015098798</v>
      </c>
      <c r="F23" s="146">
        <f>'[2]GW Depletions'!I30</f>
        <v>59881.946567837462</v>
      </c>
      <c r="G23" s="146">
        <f>[2]SWCU!F25</f>
        <v>0</v>
      </c>
      <c r="I23" s="146">
        <f t="shared" si="0"/>
        <v>143106.15058293624</v>
      </c>
      <c r="J23" s="17"/>
      <c r="K23" s="43">
        <f>[2]SWDemand!E29</f>
        <v>173.48376999999982</v>
      </c>
      <c r="L23" s="43">
        <f>MAX([2]GWCU!E27*0.7,F23)</f>
        <v>156582.80951249998</v>
      </c>
      <c r="M23" s="157">
        <f>'[2]M&amp;I COHYST Summary'!D23</f>
        <v>1507.4999999999995</v>
      </c>
      <c r="N23" s="43">
        <f>MAX('[3]DS Demand'!I22,0)</f>
        <v>129609.03256783748</v>
      </c>
      <c r="O23" s="43">
        <f>MIN(273*3762-'NorthPlatte_NonIRR Season'!U23,P23)</f>
        <v>129609.03256783748</v>
      </c>
      <c r="P23" s="43">
        <f>'[1]South Platte Roscoe'!B25</f>
        <v>129609.03256783748</v>
      </c>
      <c r="Q23" s="62">
        <f>'[2]Net SW Loss'!H28</f>
        <v>1724.5399998689998</v>
      </c>
      <c r="R23" s="61">
        <f t="shared" si="1"/>
        <v>13475.536015098798</v>
      </c>
      <c r="S23" s="62">
        <f t="shared" si="2"/>
        <v>129609.03256783748</v>
      </c>
      <c r="T23" s="62">
        <f t="shared" si="3"/>
        <v>129609.03256783748</v>
      </c>
      <c r="U23" s="19"/>
      <c r="V23" s="62">
        <f t="shared" si="9"/>
        <v>206372.03892064275</v>
      </c>
      <c r="W23" s="62">
        <f t="shared" si="10"/>
        <v>206372.03892064275</v>
      </c>
      <c r="X23" s="62">
        <f t="shared" si="11"/>
        <v>303072.90186530526</v>
      </c>
      <c r="Y23" s="62">
        <f t="shared" si="12"/>
        <v>303072.90186530526</v>
      </c>
      <c r="Z23" s="131"/>
      <c r="AA23" s="62">
        <f t="shared" si="4"/>
        <v>-63265.888337706507</v>
      </c>
      <c r="AB23" s="62">
        <f t="shared" si="5"/>
        <v>-63265.888337706507</v>
      </c>
      <c r="AC23" s="62">
        <f t="shared" si="6"/>
        <v>-159966.75128236902</v>
      </c>
      <c r="AD23" s="62">
        <f t="shared" si="7"/>
        <v>-159966.75128236902</v>
      </c>
    </row>
    <row r="24" spans="1:30" x14ac:dyDescent="0.25">
      <c r="A24" s="38">
        <v>2004</v>
      </c>
      <c r="B24" s="146">
        <f>'[1]Capped Flow'!K23</f>
        <v>50379.120000000039</v>
      </c>
      <c r="C24" s="146">
        <f>'[1]Upper Platte Gage Data'!C24</f>
        <v>1090.98</v>
      </c>
      <c r="D24" s="146">
        <f t="shared" si="8"/>
        <v>51470.100000000042</v>
      </c>
      <c r="E24" s="146">
        <f>'[2]Reservoir Evap'!E27+IF('[2]Reservoir Evap'!F27&gt;0, '[2]Reservoir Evap'!F27, 0)</f>
        <v>14667.765558702846</v>
      </c>
      <c r="F24" s="146">
        <f>'[2]GW Depletions'!I31</f>
        <v>64735.222155188239</v>
      </c>
      <c r="G24" s="146">
        <f>[2]SWCU!F26</f>
        <v>0</v>
      </c>
      <c r="I24" s="146">
        <f t="shared" si="0"/>
        <v>130873.08771389113</v>
      </c>
      <c r="J24" s="17"/>
      <c r="K24" s="43">
        <f>[2]SWDemand!E30</f>
        <v>119.02349000000004</v>
      </c>
      <c r="L24" s="43">
        <f>MAX([2]GWCU!E28*0.7,F24)</f>
        <v>115394.63927249987</v>
      </c>
      <c r="M24" s="157">
        <f>'[2]M&amp;I COHYST Summary'!D24</f>
        <v>4553.2299999999996</v>
      </c>
      <c r="N24" s="43">
        <f>MAX('[3]DS Demand'!I23,0)</f>
        <v>116215.02415518825</v>
      </c>
      <c r="O24" s="43">
        <f>MIN(273*3762-'NorthPlatte_NonIRR Season'!U24,P24)</f>
        <v>116215.02415518825</v>
      </c>
      <c r="P24" s="43">
        <f>'[1]South Platte Roscoe'!B26</f>
        <v>116215.02415518825</v>
      </c>
      <c r="Q24" s="62">
        <f>'[2]Net SW Loss'!H29</f>
        <v>1745.6399998350012</v>
      </c>
      <c r="R24" s="61">
        <f t="shared" si="1"/>
        <v>14667.765558702846</v>
      </c>
      <c r="S24" s="62">
        <f t="shared" si="2"/>
        <v>116215.02415518825</v>
      </c>
      <c r="T24" s="62">
        <f t="shared" si="3"/>
        <v>116215.02415518825</v>
      </c>
      <c r="U24" s="19"/>
      <c r="V24" s="62">
        <f t="shared" si="9"/>
        <v>202035.90535891434</v>
      </c>
      <c r="W24" s="62">
        <f t="shared" si="10"/>
        <v>202035.90535891434</v>
      </c>
      <c r="X24" s="62">
        <f t="shared" si="11"/>
        <v>252695.32247622596</v>
      </c>
      <c r="Y24" s="62">
        <f t="shared" si="12"/>
        <v>252695.32247622596</v>
      </c>
      <c r="Z24" s="131"/>
      <c r="AA24" s="62">
        <f t="shared" si="4"/>
        <v>-71162.817645023213</v>
      </c>
      <c r="AB24" s="62">
        <f t="shared" si="5"/>
        <v>-71162.817645023213</v>
      </c>
      <c r="AC24" s="62">
        <f t="shared" si="6"/>
        <v>-121822.23476233483</v>
      </c>
      <c r="AD24" s="62">
        <f t="shared" si="7"/>
        <v>-121822.23476233483</v>
      </c>
    </row>
    <row r="25" spans="1:30" x14ac:dyDescent="0.25">
      <c r="A25" s="38">
        <v>2005</v>
      </c>
      <c r="B25" s="146">
        <f>'[1]Capped Flow'!K24</f>
        <v>66060.72</v>
      </c>
      <c r="C25" s="146">
        <f>'[1]Upper Platte Gage Data'!C25</f>
        <v>6508.2600000000011</v>
      </c>
      <c r="D25" s="146">
        <f t="shared" si="8"/>
        <v>72568.98</v>
      </c>
      <c r="E25" s="146">
        <f>'[2]Reservoir Evap'!E28+IF('[2]Reservoir Evap'!F28&gt;0, '[2]Reservoir Evap'!F28, 0)</f>
        <v>12406.259081462493</v>
      </c>
      <c r="F25" s="146">
        <f>'[2]GW Depletions'!I32</f>
        <v>63492.514746786044</v>
      </c>
      <c r="G25" s="146">
        <f>[2]SWCU!F27</f>
        <v>58.714545501698439</v>
      </c>
      <c r="I25" s="146">
        <f t="shared" si="0"/>
        <v>148526.46837375022</v>
      </c>
      <c r="J25" s="17"/>
      <c r="K25" s="43">
        <f>[2]SWDemand!E31</f>
        <v>163.20395999999982</v>
      </c>
      <c r="L25" s="43">
        <f>MAX([2]GWCU!E29*0.7,F25)</f>
        <v>139222.74058583358</v>
      </c>
      <c r="M25" s="157">
        <f>'[2]M&amp;I COHYST Summary'!D25</f>
        <v>6377.46</v>
      </c>
      <c r="N25" s="43">
        <f>MAX('[3]DS Demand'!I24,0)</f>
        <v>136073.37474678605</v>
      </c>
      <c r="O25" s="43">
        <f>MIN(273*3762-'NorthPlatte_NonIRR Season'!U25,P25)</f>
        <v>136073.37474678605</v>
      </c>
      <c r="P25" s="43">
        <f>'[1]South Platte Roscoe'!B27</f>
        <v>136073.37474678605</v>
      </c>
      <c r="Q25" s="62">
        <f>'[2]Net SW Loss'!H30</f>
        <v>2589.5500003199977</v>
      </c>
      <c r="R25" s="61">
        <f t="shared" si="1"/>
        <v>12406.259081462493</v>
      </c>
      <c r="S25" s="62">
        <f t="shared" si="2"/>
        <v>136073.37474678605</v>
      </c>
      <c r="T25" s="62">
        <f t="shared" si="3"/>
        <v>136073.37474678605</v>
      </c>
      <c r="U25" s="19"/>
      <c r="V25" s="62">
        <f t="shared" si="9"/>
        <v>221102.36253535456</v>
      </c>
      <c r="W25" s="62">
        <f t="shared" si="10"/>
        <v>221102.36253535456</v>
      </c>
      <c r="X25" s="62">
        <f t="shared" si="11"/>
        <v>296832.5883744022</v>
      </c>
      <c r="Y25" s="62">
        <f t="shared" si="12"/>
        <v>296832.5883744022</v>
      </c>
      <c r="Z25" s="131"/>
      <c r="AA25" s="62">
        <f t="shared" si="4"/>
        <v>-72575.894161604345</v>
      </c>
      <c r="AB25" s="62">
        <f t="shared" si="5"/>
        <v>-72575.894161604345</v>
      </c>
      <c r="AC25" s="62">
        <f t="shared" si="6"/>
        <v>-148306.12000065198</v>
      </c>
      <c r="AD25" s="62">
        <f t="shared" si="7"/>
        <v>-148306.12000065198</v>
      </c>
    </row>
    <row r="26" spans="1:30" x14ac:dyDescent="0.25">
      <c r="A26" s="38">
        <v>2006</v>
      </c>
      <c r="B26" s="146">
        <f>'[1]Capped Flow'!K25</f>
        <v>82872.899999999994</v>
      </c>
      <c r="C26" s="146">
        <f>'[1]Upper Platte Gage Data'!C26</f>
        <v>9110.9699999999957</v>
      </c>
      <c r="D26" s="146">
        <f t="shared" si="8"/>
        <v>91983.87</v>
      </c>
      <c r="E26" s="146">
        <f>'[2]Reservoir Evap'!E29+IF('[2]Reservoir Evap'!F29&gt;0, '[2]Reservoir Evap'!F29, 0)</f>
        <v>14714.615540065157</v>
      </c>
      <c r="F26" s="146">
        <f>'[2]GW Depletions'!I33</f>
        <v>63921.442826905411</v>
      </c>
      <c r="G26" s="146">
        <f>[2]SWCU!F28</f>
        <v>0</v>
      </c>
      <c r="I26" s="146">
        <f t="shared" si="0"/>
        <v>170619.92836697056</v>
      </c>
      <c r="J26" s="17"/>
      <c r="K26" s="43">
        <f>[2]SWDemand!E32</f>
        <v>135.45724999999993</v>
      </c>
      <c r="L26" s="43">
        <f>MAX([2]GWCU!E30*0.7,F26)</f>
        <v>128883.13596666648</v>
      </c>
      <c r="M26" s="157">
        <f>'[2]M&amp;I COHYST Summary'!D26</f>
        <v>6377.46</v>
      </c>
      <c r="N26" s="43">
        <f>MAX('[3]DS Demand'!I25,0)</f>
        <v>155891.45282690538</v>
      </c>
      <c r="O26" s="43">
        <f>MIN(273*3762-'NorthPlatte_NonIRR Season'!U26,P26)</f>
        <v>155891.45282690538</v>
      </c>
      <c r="P26" s="43">
        <f>'[1]South Platte Roscoe'!B28</f>
        <v>155891.45282690538</v>
      </c>
      <c r="Q26" s="62">
        <f>'[2]Net SW Loss'!H31</f>
        <v>1888.8699996900018</v>
      </c>
      <c r="R26" s="61">
        <f t="shared" si="1"/>
        <v>14714.615540065157</v>
      </c>
      <c r="S26" s="62">
        <f t="shared" si="2"/>
        <v>155891.45282690538</v>
      </c>
      <c r="T26" s="62">
        <f t="shared" si="3"/>
        <v>155891.45282690538</v>
      </c>
      <c r="U26" s="19"/>
      <c r="V26" s="62">
        <f t="shared" si="9"/>
        <v>242929.29844356596</v>
      </c>
      <c r="W26" s="62">
        <f t="shared" si="10"/>
        <v>242929.29844356596</v>
      </c>
      <c r="X26" s="62">
        <f t="shared" si="11"/>
        <v>307890.99158332706</v>
      </c>
      <c r="Y26" s="62">
        <f t="shared" si="12"/>
        <v>307890.99158332706</v>
      </c>
      <c r="Z26" s="131"/>
      <c r="AA26" s="62">
        <f t="shared" si="4"/>
        <v>-72309.370076595398</v>
      </c>
      <c r="AB26" s="62">
        <f t="shared" si="5"/>
        <v>-72309.370076595398</v>
      </c>
      <c r="AC26" s="62">
        <f t="shared" si="6"/>
        <v>-137271.0632163565</v>
      </c>
      <c r="AD26" s="62">
        <f t="shared" si="7"/>
        <v>-137271.0632163565</v>
      </c>
    </row>
    <row r="27" spans="1:30" x14ac:dyDescent="0.25">
      <c r="A27" s="38">
        <v>2007</v>
      </c>
      <c r="B27" s="146">
        <f>'[1]Capped Flow'!K26</f>
        <v>89688.060000000012</v>
      </c>
      <c r="C27" s="146">
        <f>'[1]Upper Platte Gage Data'!C27</f>
        <v>18726.84</v>
      </c>
      <c r="D27" s="146">
        <f t="shared" si="8"/>
        <v>108414.90000000001</v>
      </c>
      <c r="E27" s="146">
        <f>'[2]Reservoir Evap'!E30+IF('[2]Reservoir Evap'!F30&gt;0, '[2]Reservoir Evap'!F30, 0)</f>
        <v>10206.049239379288</v>
      </c>
      <c r="F27" s="146">
        <f>'[2]GW Depletions'!I34</f>
        <v>65609.379898530766</v>
      </c>
      <c r="G27" s="146">
        <f>[2]SWCU!F29</f>
        <v>19.553950000000004</v>
      </c>
      <c r="I27" s="146">
        <f t="shared" si="0"/>
        <v>184249.88308791004</v>
      </c>
      <c r="J27" s="17"/>
      <c r="K27" s="43">
        <f>[2]SWDemand!E33</f>
        <v>89.575649999999996</v>
      </c>
      <c r="L27" s="43">
        <f>MAX([2]GWCU!E31*0.7,F27)</f>
        <v>87140.082749999739</v>
      </c>
      <c r="M27" s="157">
        <f>'[2]M&amp;I COHYST Summary'!D27</f>
        <v>6377.46</v>
      </c>
      <c r="N27" s="43">
        <f>MAX('[3]DS Demand'!I26,0)</f>
        <v>175562.73989853071</v>
      </c>
      <c r="O27" s="43">
        <f>MIN(273*3762-'NorthPlatte_NonIRR Season'!U27,P27)</f>
        <v>175562.73989853071</v>
      </c>
      <c r="P27" s="43">
        <f>'[1]South Platte Roscoe'!B29</f>
        <v>175562.73989853071</v>
      </c>
      <c r="Q27" s="62">
        <f>'[2]Net SW Loss'!H32</f>
        <v>2369.3399999399985</v>
      </c>
      <c r="R27" s="61">
        <f t="shared" si="1"/>
        <v>10206.049239379288</v>
      </c>
      <c r="S27" s="62">
        <f t="shared" si="2"/>
        <v>175562.73989853071</v>
      </c>
      <c r="T27" s="62">
        <f t="shared" si="3"/>
        <v>175562.73989853071</v>
      </c>
      <c r="U27" s="19"/>
      <c r="V27" s="62">
        <f t="shared" si="9"/>
        <v>260214.54468638077</v>
      </c>
      <c r="W27" s="62">
        <f t="shared" si="10"/>
        <v>260214.54468638077</v>
      </c>
      <c r="X27" s="62">
        <f t="shared" si="11"/>
        <v>281745.24753784976</v>
      </c>
      <c r="Y27" s="62">
        <f t="shared" si="12"/>
        <v>281745.24753784976</v>
      </c>
      <c r="Z27" s="131"/>
      <c r="AA27" s="62">
        <f t="shared" si="4"/>
        <v>-75964.661598470731</v>
      </c>
      <c r="AB27" s="62">
        <f t="shared" si="5"/>
        <v>-75964.661598470731</v>
      </c>
      <c r="AC27" s="62">
        <f t="shared" si="6"/>
        <v>-97495.36444993972</v>
      </c>
      <c r="AD27" s="62">
        <f t="shared" si="7"/>
        <v>-97495.36444993972</v>
      </c>
    </row>
    <row r="28" spans="1:30" x14ac:dyDescent="0.25">
      <c r="A28" s="38">
        <v>2008</v>
      </c>
      <c r="B28" s="146">
        <f>'[1]Capped Flow'!K27</f>
        <v>99332.640000000043</v>
      </c>
      <c r="C28" s="146">
        <f>'[1]Upper Platte Gage Data'!C28</f>
        <v>21594.869999999992</v>
      </c>
      <c r="D28" s="146">
        <f t="shared" si="8"/>
        <v>120927.51000000004</v>
      </c>
      <c r="E28" s="146">
        <f>'[2]Reservoir Evap'!E31+IF('[2]Reservoir Evap'!F31&gt;0, '[2]Reservoir Evap'!F31, 0)</f>
        <v>10040.636746038363</v>
      </c>
      <c r="F28" s="146">
        <f>'[2]GW Depletions'!I35</f>
        <v>62946.102332988972</v>
      </c>
      <c r="G28" s="146">
        <f>[2]SWCU!F30</f>
        <v>16.069950000000002</v>
      </c>
      <c r="I28" s="146">
        <f t="shared" si="0"/>
        <v>193930.31902902739</v>
      </c>
      <c r="J28" s="17"/>
      <c r="K28" s="43">
        <f>[2]SWDemand!E34</f>
        <v>152.08932999999979</v>
      </c>
      <c r="L28" s="43">
        <f>MAX([2]GWCU!E32*0.7,F28)</f>
        <v>165445.78437916632</v>
      </c>
      <c r="M28" s="157">
        <f>'[2]M&amp;I COHYST Summary'!D28</f>
        <v>6377.46</v>
      </c>
      <c r="N28" s="43">
        <f>MAX('[3]DS Demand'!I27,0)</f>
        <v>183594.43233298894</v>
      </c>
      <c r="O28" s="43">
        <f>MIN(273*3762-'NorthPlatte_NonIRR Season'!U28,P28)</f>
        <v>183594.43233298894</v>
      </c>
      <c r="P28" s="43">
        <f>'[1]South Platte Roscoe'!B30</f>
        <v>183594.43233298894</v>
      </c>
      <c r="Q28" s="62">
        <f>'[2]Net SW Loss'!H33</f>
        <v>2731.9199998500017</v>
      </c>
      <c r="R28" s="61">
        <f t="shared" si="1"/>
        <v>10040.636746038363</v>
      </c>
      <c r="S28" s="62">
        <f t="shared" si="2"/>
        <v>183594.43233298894</v>
      </c>
      <c r="T28" s="62">
        <f t="shared" si="3"/>
        <v>183594.43233298894</v>
      </c>
      <c r="U28" s="19"/>
      <c r="V28" s="62">
        <f t="shared" si="9"/>
        <v>265842.64074186631</v>
      </c>
      <c r="W28" s="62">
        <f t="shared" si="10"/>
        <v>265842.64074186631</v>
      </c>
      <c r="X28" s="62">
        <f t="shared" si="11"/>
        <v>368342.32278804365</v>
      </c>
      <c r="Y28" s="62">
        <f t="shared" si="12"/>
        <v>368342.32278804365</v>
      </c>
      <c r="Z28" s="131"/>
      <c r="AA28" s="62">
        <f t="shared" si="4"/>
        <v>-71912.321712838922</v>
      </c>
      <c r="AB28" s="62">
        <f t="shared" si="5"/>
        <v>-71912.321712838922</v>
      </c>
      <c r="AC28" s="62">
        <f t="shared" si="6"/>
        <v>-174412.00375901625</v>
      </c>
      <c r="AD28" s="62">
        <f t="shared" si="7"/>
        <v>-174412.00375901625</v>
      </c>
    </row>
    <row r="29" spans="1:30" x14ac:dyDescent="0.25">
      <c r="A29" s="38">
        <v>2009</v>
      </c>
      <c r="B29" s="146">
        <f>'[1]Capped Flow'!K28</f>
        <v>79378.200000000012</v>
      </c>
      <c r="C29" s="146">
        <f>'[1]Upper Platte Gage Data'!C29</f>
        <v>47618.405999999974</v>
      </c>
      <c r="D29" s="146">
        <f t="shared" si="8"/>
        <v>126996.60599999999</v>
      </c>
      <c r="E29" s="146">
        <f>'[2]Reservoir Evap'!E32+IF('[2]Reservoir Evap'!F32&gt;0, '[2]Reservoir Evap'!F32, 0)</f>
        <v>11711.516467190786</v>
      </c>
      <c r="F29" s="146">
        <f>'[2]GW Depletions'!I36</f>
        <v>61218.260139003673</v>
      </c>
      <c r="G29" s="146">
        <f>[2]SWCU!F31</f>
        <v>63.060400000000008</v>
      </c>
      <c r="I29" s="146">
        <f t="shared" si="0"/>
        <v>199989.44300619446</v>
      </c>
      <c r="J29" s="17"/>
      <c r="K29" s="43">
        <f>[2]SWDemand!E35</f>
        <v>134.07972999999993</v>
      </c>
      <c r="L29" s="43">
        <f>MAX([2]GWCU!E33*0.7,F29)</f>
        <v>154813.47711608926</v>
      </c>
      <c r="M29" s="157">
        <f>'[2]M&amp;I COHYST Summary'!D29</f>
        <v>6377.46</v>
      </c>
      <c r="N29" s="43">
        <f>MAX('[3]DS Demand'!I28,0)</f>
        <v>188376.23613900365</v>
      </c>
      <c r="O29" s="43">
        <f>MIN(273*3762-'NorthPlatte_NonIRR Season'!U29,P29)</f>
        <v>188376.23613900365</v>
      </c>
      <c r="P29" s="43">
        <f>'[1]South Platte Roscoe'!B31</f>
        <v>188376.23613900365</v>
      </c>
      <c r="Q29" s="62">
        <f>'[2]Net SW Loss'!H34</f>
        <v>2891.4100001099978</v>
      </c>
      <c r="R29" s="61">
        <f t="shared" si="1"/>
        <v>11711.516467190786</v>
      </c>
      <c r="S29" s="62">
        <f t="shared" si="2"/>
        <v>188376.23613900365</v>
      </c>
      <c r="T29" s="62">
        <f t="shared" si="3"/>
        <v>188376.23613900365</v>
      </c>
      <c r="U29" s="19"/>
      <c r="V29" s="62">
        <f t="shared" si="9"/>
        <v>270708.9624753081</v>
      </c>
      <c r="W29" s="62">
        <f t="shared" si="10"/>
        <v>270708.9624753081</v>
      </c>
      <c r="X29" s="62">
        <f t="shared" si="11"/>
        <v>364304.17945239373</v>
      </c>
      <c r="Y29" s="62">
        <f t="shared" si="12"/>
        <v>364304.17945239373</v>
      </c>
      <c r="Z29" s="131"/>
      <c r="AA29" s="62">
        <f t="shared" si="4"/>
        <v>-70719.519469113642</v>
      </c>
      <c r="AB29" s="62">
        <f t="shared" si="5"/>
        <v>-70719.519469113642</v>
      </c>
      <c r="AC29" s="62">
        <f t="shared" si="6"/>
        <v>-164314.73644619927</v>
      </c>
      <c r="AD29" s="62">
        <f t="shared" si="7"/>
        <v>-164314.73644619927</v>
      </c>
    </row>
    <row r="30" spans="1:30" x14ac:dyDescent="0.25">
      <c r="A30" s="38">
        <v>2010</v>
      </c>
      <c r="B30" s="146">
        <f>'[1]Capped Flow'!K29</f>
        <v>334707.12</v>
      </c>
      <c r="C30" s="146">
        <f>'[1]Upper Platte Gage Data'!C30</f>
        <v>94985.351999999926</v>
      </c>
      <c r="D30" s="146">
        <f t="shared" si="8"/>
        <v>429692.47199999995</v>
      </c>
      <c r="E30" s="146">
        <f>'[2]Reservoir Evap'!E33+IF('[2]Reservoir Evap'!F33&gt;0, '[2]Reservoir Evap'!F33, 0)</f>
        <v>10862.442717061451</v>
      </c>
      <c r="F30" s="146">
        <f>'[2]GW Depletions'!I37</f>
        <v>59652.912010101012</v>
      </c>
      <c r="G30" s="146">
        <f>[2]SWCU!F32</f>
        <v>85.009600000000006</v>
      </c>
      <c r="I30" s="146">
        <f t="shared" si="0"/>
        <v>500292.8363271624</v>
      </c>
      <c r="J30" s="17"/>
      <c r="K30" s="43">
        <f>[2]SWDemand!E36</f>
        <v>175.23782999999958</v>
      </c>
      <c r="L30" s="43">
        <f>MAX([2]GWCU!E34*0.7,F30)</f>
        <v>184888.97110263485</v>
      </c>
      <c r="M30" s="157">
        <f>'[2]M&amp;I COHYST Summary'!D30</f>
        <v>6377.46</v>
      </c>
      <c r="N30" s="43">
        <f>MAX('[3]DS Demand'!I29,0)</f>
        <v>335495.48431379709</v>
      </c>
      <c r="O30" s="43">
        <f>MIN(273*3762-'NorthPlatte_NonIRR Season'!U30,P30)</f>
        <v>335495.48431379709</v>
      </c>
      <c r="P30" s="43">
        <f>'[1]South Platte Roscoe'!B32</f>
        <v>459459</v>
      </c>
      <c r="Q30" s="62">
        <f>'[2]Net SW Loss'!H35</f>
        <v>2774.6799999299978</v>
      </c>
      <c r="R30" s="61">
        <f t="shared" si="1"/>
        <v>10862.442717061451</v>
      </c>
      <c r="S30" s="62">
        <f t="shared" si="2"/>
        <v>335495.48431379709</v>
      </c>
      <c r="T30" s="62">
        <f t="shared" si="3"/>
        <v>459459</v>
      </c>
      <c r="U30" s="19"/>
      <c r="V30" s="62">
        <f t="shared" si="9"/>
        <v>415338.21687088953</v>
      </c>
      <c r="W30" s="62">
        <f t="shared" si="10"/>
        <v>539301.73255709244</v>
      </c>
      <c r="X30" s="62">
        <f t="shared" si="11"/>
        <v>540574.27596342342</v>
      </c>
      <c r="Y30" s="62">
        <f t="shared" si="12"/>
        <v>664537.79164962622</v>
      </c>
      <c r="Z30" s="131"/>
      <c r="AA30" s="62">
        <f t="shared" si="4"/>
        <v>84954.619456272863</v>
      </c>
      <c r="AB30" s="62">
        <f t="shared" si="5"/>
        <v>-39008.896229930047</v>
      </c>
      <c r="AC30" s="62">
        <f t="shared" si="6"/>
        <v>-40281.439636261028</v>
      </c>
      <c r="AD30" s="62">
        <f t="shared" si="7"/>
        <v>-164244.95532246382</v>
      </c>
    </row>
    <row r="31" spans="1:30" x14ac:dyDescent="0.25">
      <c r="A31" s="38">
        <v>2011</v>
      </c>
      <c r="B31" s="146">
        <f>'[1]Capped Flow'!K30</f>
        <v>177974.28</v>
      </c>
      <c r="C31" s="146">
        <f>'[1]Upper Platte Gage Data'!C31</f>
        <v>27292.320000000003</v>
      </c>
      <c r="D31" s="146">
        <f t="shared" si="8"/>
        <v>205266.6</v>
      </c>
      <c r="E31" s="146">
        <f>'[2]Reservoir Evap'!E34+IF('[2]Reservoir Evap'!F34&gt;0, '[2]Reservoir Evap'!F34, 0)</f>
        <v>12155.052458699192</v>
      </c>
      <c r="F31" s="146">
        <f>'[2]GW Depletions'!I38</f>
        <v>59570.887882575757</v>
      </c>
      <c r="G31" s="146">
        <f>[2]SWCU!F33</f>
        <v>69.331599999999995</v>
      </c>
      <c r="H31" s="160"/>
      <c r="I31" s="146">
        <f t="shared" si="0"/>
        <v>277061.87194127491</v>
      </c>
      <c r="J31" s="34"/>
      <c r="K31" s="43">
        <f>[2]SWDemand!E37</f>
        <v>147.42009999999982</v>
      </c>
      <c r="L31" s="43">
        <f>MAX([2]GWCU!E35*0.7,F31)</f>
        <v>148766.67180163035</v>
      </c>
      <c r="M31" s="157">
        <f>'[2]M&amp;I COHYST Summary'!D31</f>
        <v>6377.46</v>
      </c>
      <c r="N31" s="43">
        <f>MAX('[3]DS Demand'!I30,0)</f>
        <v>122184.36615376177</v>
      </c>
      <c r="O31" s="43">
        <f>MIN(273*3762-'NorthPlatte_NonIRR Season'!U31,P31)</f>
        <v>81081</v>
      </c>
      <c r="P31" s="43">
        <f>'[1]South Platte Roscoe'!B33</f>
        <v>266809.56788257573</v>
      </c>
      <c r="Q31" s="62">
        <f>'[2]Net SW Loss'!H36</f>
        <v>2774.8799998199975</v>
      </c>
      <c r="R31" s="159">
        <f t="shared" si="1"/>
        <v>12155.052458699192</v>
      </c>
      <c r="S31" s="62">
        <f t="shared" si="2"/>
        <v>122184.36615376177</v>
      </c>
      <c r="T31" s="62">
        <f t="shared" si="3"/>
        <v>266809.56788257573</v>
      </c>
      <c r="U31" s="19"/>
      <c r="V31" s="62">
        <f t="shared" si="9"/>
        <v>203210.0665948567</v>
      </c>
      <c r="W31" s="62">
        <f t="shared" si="10"/>
        <v>347835.26832367067</v>
      </c>
      <c r="X31" s="62">
        <f t="shared" si="11"/>
        <v>292405.85051391134</v>
      </c>
      <c r="Y31" s="62">
        <f t="shared" si="12"/>
        <v>437031.05224272527</v>
      </c>
      <c r="Z31" s="131"/>
      <c r="AA31" s="62">
        <f t="shared" si="4"/>
        <v>73851.805346418201</v>
      </c>
      <c r="AB31" s="62">
        <f t="shared" si="5"/>
        <v>-70773.39638239576</v>
      </c>
      <c r="AC31" s="62">
        <f t="shared" si="6"/>
        <v>-15343.978572636435</v>
      </c>
      <c r="AD31" s="62">
        <f t="shared" si="7"/>
        <v>-159969.18030145037</v>
      </c>
    </row>
    <row r="32" spans="1:30" x14ac:dyDescent="0.25">
      <c r="A32" s="38">
        <v>2012</v>
      </c>
      <c r="B32" s="146">
        <f>'[1]Capped Flow'!K31</f>
        <v>277669.25999999989</v>
      </c>
      <c r="C32" s="146">
        <f>'[1]Upper Platte Gage Data'!C32</f>
        <v>44673.155999999995</v>
      </c>
      <c r="D32" s="146">
        <f t="shared" si="8"/>
        <v>322342.41599999991</v>
      </c>
      <c r="E32" s="146">
        <f>'[2]Reservoir Evap'!E35+IF('[2]Reservoir Evap'!F35&gt;0, '[2]Reservoir Evap'!F35, 0)</f>
        <v>13748.481087038639</v>
      </c>
      <c r="F32" s="146">
        <f>'[2]GW Depletions'!I39</f>
        <v>59594.168310606066</v>
      </c>
      <c r="G32" s="146">
        <f>[2]SWCU!F34</f>
        <v>0.871</v>
      </c>
      <c r="H32" s="160"/>
      <c r="I32" s="146">
        <f t="shared" si="0"/>
        <v>395685.93639764463</v>
      </c>
      <c r="J32" s="34"/>
      <c r="K32" s="43">
        <f>[2]SWDemand!E38</f>
        <v>146.80101999999988</v>
      </c>
      <c r="L32" s="43">
        <f>MAX([2]GWCU!E36*0.7,F32)</f>
        <v>159313.85895250033</v>
      </c>
      <c r="M32" s="157">
        <f>'[2]M&amp;I COHYST Summary'!D32</f>
        <v>6377.46</v>
      </c>
      <c r="N32" s="43">
        <f>MAX('[3]DS Demand'!I31,0)</f>
        <v>234626.6945831218</v>
      </c>
      <c r="O32" s="43">
        <f>MIN(273*3762-'NorthPlatte_NonIRR Season'!U32,P32)</f>
        <v>81081</v>
      </c>
      <c r="P32" s="43">
        <f>'[1]South Platte Roscoe'!B34</f>
        <v>381452.87031060609</v>
      </c>
      <c r="Q32" s="62">
        <f>'[2]Net SW Loss'!H37</f>
        <v>2365.3000001100022</v>
      </c>
      <c r="R32" s="159">
        <f t="shared" si="1"/>
        <v>13748.481087038639</v>
      </c>
      <c r="S32" s="62">
        <f t="shared" si="2"/>
        <v>234626.6945831218</v>
      </c>
      <c r="T32" s="62">
        <f t="shared" si="3"/>
        <v>381452.87031060609</v>
      </c>
      <c r="U32" s="19"/>
      <c r="V32" s="62">
        <f t="shared" si="9"/>
        <v>316858.90500087652</v>
      </c>
      <c r="W32" s="62">
        <f t="shared" si="10"/>
        <v>463685.0807283608</v>
      </c>
      <c r="X32" s="62">
        <f t="shared" si="11"/>
        <v>416578.59564277082</v>
      </c>
      <c r="Y32" s="62">
        <f t="shared" si="12"/>
        <v>563404.77137025504</v>
      </c>
      <c r="Z32" s="131"/>
      <c r="AA32" s="62">
        <f t="shared" si="4"/>
        <v>78827.031396768114</v>
      </c>
      <c r="AB32" s="62">
        <f t="shared" si="5"/>
        <v>-67999.144330716168</v>
      </c>
      <c r="AC32" s="62">
        <f t="shared" si="6"/>
        <v>-20892.659245126182</v>
      </c>
      <c r="AD32" s="62">
        <f t="shared" si="7"/>
        <v>-167718.83497261041</v>
      </c>
    </row>
    <row r="33" spans="1:31" x14ac:dyDescent="0.25">
      <c r="A33" s="160"/>
      <c r="B33" s="160"/>
      <c r="C33" s="160"/>
      <c r="D33" s="160"/>
      <c r="E33" s="160"/>
      <c r="F33" s="160"/>
      <c r="G33" s="160"/>
      <c r="H33" s="160"/>
      <c r="I33" s="184"/>
      <c r="J33" s="184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V33" s="88"/>
      <c r="X33" s="88"/>
      <c r="AA33" s="107"/>
      <c r="AC33" s="107"/>
    </row>
    <row r="34" spans="1:31" x14ac:dyDescent="0.25">
      <c r="A34" s="160"/>
      <c r="B34" s="160"/>
      <c r="C34" s="160"/>
      <c r="D34" s="160"/>
      <c r="E34" s="160"/>
      <c r="F34" s="160"/>
      <c r="G34" s="160"/>
      <c r="H34" s="160"/>
      <c r="I34" s="184"/>
      <c r="J34" s="184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V34" s="88"/>
      <c r="X34" s="88"/>
      <c r="AA34" s="107"/>
      <c r="AC34" s="107"/>
    </row>
    <row r="35" spans="1:31" x14ac:dyDescent="0.25">
      <c r="A35" s="160" t="s">
        <v>9</v>
      </c>
      <c r="B35" s="15">
        <f t="shared" ref="B35:AD35" si="13">AVERAGE(B8:B32)</f>
        <v>160013.14559999999</v>
      </c>
      <c r="C35" s="15">
        <f t="shared" si="13"/>
        <v>117667.74016799999</v>
      </c>
      <c r="D35" s="15">
        <f t="shared" si="13"/>
        <v>277680.88576799998</v>
      </c>
      <c r="E35" s="15">
        <f t="shared" si="13"/>
        <v>12596.302977822215</v>
      </c>
      <c r="F35" s="15">
        <f>AVERAGE(F8:F32)</f>
        <v>53189.206609464651</v>
      </c>
      <c r="G35" s="15">
        <f>AVERAGE(G8:G32)</f>
        <v>69.035407740519133</v>
      </c>
      <c r="H35" s="160"/>
      <c r="I35" s="15">
        <f>AVERAGE(I8:I32)</f>
        <v>343535.4307630274</v>
      </c>
      <c r="J35" s="15"/>
      <c r="K35" s="15">
        <f t="shared" si="13"/>
        <v>214.13808359999985</v>
      </c>
      <c r="L35" s="15">
        <f t="shared" si="13"/>
        <v>121254.79681888082</v>
      </c>
      <c r="M35" s="15">
        <f t="shared" si="13"/>
        <v>3220.6736000000005</v>
      </c>
      <c r="N35" s="15">
        <f t="shared" si="13"/>
        <v>247476.2305328121</v>
      </c>
      <c r="O35" s="15">
        <f>AVERAGE(O8:O32)</f>
        <v>210238.7070139478</v>
      </c>
      <c r="P35" s="15">
        <f t="shared" si="13"/>
        <v>310188.64665674104</v>
      </c>
      <c r="Q35" s="15">
        <f t="shared" si="13"/>
        <v>2492.4416000595602</v>
      </c>
      <c r="R35" s="15">
        <f t="shared" si="13"/>
        <v>12596.302977822215</v>
      </c>
      <c r="S35" s="15">
        <f>AVERAGE(S8:S32)</f>
        <v>247476.2305328121</v>
      </c>
      <c r="T35" s="15">
        <f t="shared" si="13"/>
        <v>310188.64665674104</v>
      </c>
      <c r="U35" s="16"/>
      <c r="V35" s="16">
        <f>AVERAGE(V8:V32)</f>
        <v>319188.99340375862</v>
      </c>
      <c r="W35" s="16">
        <f t="shared" si="13"/>
        <v>381901.40952768753</v>
      </c>
      <c r="X35" s="16">
        <f>AVERAGE(X8:X32)</f>
        <v>387254.58361317479</v>
      </c>
      <c r="Y35" s="16">
        <f t="shared" si="13"/>
        <v>449966.99973710364</v>
      </c>
      <c r="Z35" s="16"/>
      <c r="AA35" s="16">
        <f>AVERAGE(AA8:AA32)</f>
        <v>24346.437359268806</v>
      </c>
      <c r="AB35" s="16">
        <f t="shared" si="13"/>
        <v>-38365.978764660089</v>
      </c>
      <c r="AC35" s="16">
        <f>AVERAGE(AC8:AC32)</f>
        <v>-43719.152850147373</v>
      </c>
      <c r="AD35" s="16">
        <f t="shared" si="13"/>
        <v>-106431.56897407626</v>
      </c>
      <c r="AE35" s="16"/>
    </row>
    <row r="36" spans="1:31" x14ac:dyDescent="0.25">
      <c r="I36" s="1"/>
      <c r="N36" s="28"/>
      <c r="O36" s="28"/>
      <c r="P36" s="28"/>
      <c r="X36" s="16"/>
      <c r="AC36" s="16"/>
    </row>
    <row r="37" spans="1:31" x14ac:dyDescent="0.25">
      <c r="I37" s="16"/>
      <c r="N37" s="28"/>
      <c r="O37" s="28"/>
      <c r="P37" s="28"/>
    </row>
    <row r="38" spans="1:31" x14ac:dyDescent="0.25">
      <c r="A38" t="s">
        <v>10</v>
      </c>
      <c r="D38" t="s">
        <v>70</v>
      </c>
      <c r="E38" s="16"/>
      <c r="F38" s="1"/>
      <c r="G38" s="114" t="s">
        <v>72</v>
      </c>
      <c r="H38" s="16"/>
    </row>
    <row r="39" spans="1:31" x14ac:dyDescent="0.25">
      <c r="A39" s="26" t="s">
        <v>2</v>
      </c>
      <c r="B39" s="39">
        <f>D35</f>
        <v>277680.88576799998</v>
      </c>
      <c r="D39" s="103" t="s">
        <v>11</v>
      </c>
      <c r="E39" s="39">
        <f>F35</f>
        <v>53189.206609464651</v>
      </c>
      <c r="F39" s="1"/>
      <c r="G39" s="103" t="s">
        <v>12</v>
      </c>
      <c r="H39" s="39">
        <f>L35</f>
        <v>121254.79681888082</v>
      </c>
      <c r="J39" s="16" t="s">
        <v>135</v>
      </c>
      <c r="K39" s="161" t="s">
        <v>136</v>
      </c>
      <c r="N39" s="69"/>
      <c r="O39" s="69"/>
    </row>
    <row r="40" spans="1:31" x14ac:dyDescent="0.25">
      <c r="A40" s="26" t="s">
        <v>11</v>
      </c>
      <c r="B40" s="39">
        <f>F35</f>
        <v>53189.206609464651</v>
      </c>
      <c r="D40" s="103" t="s">
        <v>13</v>
      </c>
      <c r="E40" s="39">
        <f>K35</f>
        <v>214.13808359999985</v>
      </c>
      <c r="F40" s="1"/>
      <c r="G40" s="103" t="s">
        <v>13</v>
      </c>
      <c r="H40" s="39">
        <f>E40</f>
        <v>214.13808359999985</v>
      </c>
      <c r="J40" s="161" t="s">
        <v>137</v>
      </c>
      <c r="K40" s="161" t="s">
        <v>138</v>
      </c>
    </row>
    <row r="41" spans="1:31" x14ac:dyDescent="0.25">
      <c r="A41" s="26" t="s">
        <v>3</v>
      </c>
      <c r="B41" s="39">
        <f>G35</f>
        <v>69.035407740519133</v>
      </c>
      <c r="D41" s="79" t="s">
        <v>95</v>
      </c>
      <c r="E41" s="39">
        <f>M35</f>
        <v>3220.6736000000005</v>
      </c>
      <c r="G41" s="79" t="s">
        <v>95</v>
      </c>
      <c r="H41" s="39">
        <f>E41</f>
        <v>3220.6736000000005</v>
      </c>
      <c r="J41" s="161" t="s">
        <v>139</v>
      </c>
      <c r="K41" s="161" t="s">
        <v>140</v>
      </c>
    </row>
    <row r="42" spans="1:31" x14ac:dyDescent="0.25">
      <c r="A42" s="26" t="s">
        <v>20</v>
      </c>
      <c r="B42" s="39">
        <f>E35</f>
        <v>12596.302977822215</v>
      </c>
      <c r="D42" s="79" t="s">
        <v>20</v>
      </c>
      <c r="E42" s="39">
        <f>E35</f>
        <v>12596.302977822215</v>
      </c>
      <c r="G42" s="79" t="s">
        <v>20</v>
      </c>
      <c r="H42" s="39">
        <f>E42</f>
        <v>12596.302977822215</v>
      </c>
      <c r="J42" s="161" t="s">
        <v>141</v>
      </c>
      <c r="K42" s="161" t="s">
        <v>142</v>
      </c>
    </row>
    <row r="43" spans="1:31" x14ac:dyDescent="0.25">
      <c r="A43" s="26" t="s">
        <v>22</v>
      </c>
      <c r="B43" s="39">
        <f>SUM(B39:B42)</f>
        <v>343535.43076302734</v>
      </c>
      <c r="D43" s="103" t="s">
        <v>5</v>
      </c>
      <c r="E43" s="39">
        <f>Q35</f>
        <v>2492.4416000595602</v>
      </c>
      <c r="F43" s="1"/>
      <c r="G43" s="103" t="s">
        <v>5</v>
      </c>
      <c r="H43" s="39">
        <f>E43</f>
        <v>2492.4416000595602</v>
      </c>
      <c r="J43" s="161" t="s">
        <v>143</v>
      </c>
      <c r="K43" s="161" t="s">
        <v>144</v>
      </c>
    </row>
    <row r="44" spans="1:31" x14ac:dyDescent="0.25">
      <c r="D44" s="103" t="s">
        <v>18</v>
      </c>
      <c r="E44" s="39">
        <f>S35</f>
        <v>247476.2305328121</v>
      </c>
      <c r="G44" s="103" t="s">
        <v>18</v>
      </c>
      <c r="H44" s="39">
        <f>E44</f>
        <v>247476.2305328121</v>
      </c>
      <c r="J44" s="161" t="s">
        <v>5</v>
      </c>
      <c r="K44" s="161" t="s">
        <v>145</v>
      </c>
    </row>
    <row r="45" spans="1:31" x14ac:dyDescent="0.25">
      <c r="D45" s="103" t="s">
        <v>42</v>
      </c>
      <c r="E45" s="78">
        <f>B43-E46</f>
        <v>24346.437359268835</v>
      </c>
      <c r="F45" s="1"/>
      <c r="G45" s="103" t="s">
        <v>42</v>
      </c>
      <c r="H45" s="78">
        <f>B43-H46</f>
        <v>-43719.152850147395</v>
      </c>
      <c r="J45" s="5" t="s">
        <v>146</v>
      </c>
      <c r="K45" s="161" t="s">
        <v>147</v>
      </c>
    </row>
    <row r="46" spans="1:31" x14ac:dyDescent="0.25">
      <c r="D46" s="103" t="s">
        <v>22</v>
      </c>
      <c r="E46" s="39">
        <f>SUM(E39:E44)</f>
        <v>319188.9934037585</v>
      </c>
      <c r="F46" s="1"/>
      <c r="G46" s="103" t="s">
        <v>22</v>
      </c>
      <c r="H46" s="39">
        <f>SUM(H39:H44)</f>
        <v>387254.58361317473</v>
      </c>
      <c r="J46" s="5" t="s">
        <v>148</v>
      </c>
      <c r="K46" s="161" t="s">
        <v>149</v>
      </c>
    </row>
    <row r="47" spans="1:31" x14ac:dyDescent="0.25">
      <c r="D47"/>
      <c r="H47"/>
      <c r="J47" s="5" t="s">
        <v>150</v>
      </c>
      <c r="K47" s="161" t="s">
        <v>151</v>
      </c>
    </row>
    <row r="48" spans="1:31" x14ac:dyDescent="0.25">
      <c r="D48"/>
      <c r="H48"/>
      <c r="J48" s="125" t="s">
        <v>152</v>
      </c>
      <c r="K48" s="125" t="s">
        <v>153</v>
      </c>
    </row>
    <row r="49" spans="4:11" x14ac:dyDescent="0.25">
      <c r="D49" s="114" t="s">
        <v>71</v>
      </c>
      <c r="E49" s="16"/>
      <c r="F49" s="113"/>
      <c r="G49" s="114" t="s">
        <v>73</v>
      </c>
      <c r="H49" s="16"/>
      <c r="J49" s="125" t="s">
        <v>154</v>
      </c>
      <c r="K49" s="125" t="s">
        <v>155</v>
      </c>
    </row>
    <row r="50" spans="4:11" x14ac:dyDescent="0.25">
      <c r="D50" s="103" t="s">
        <v>11</v>
      </c>
      <c r="E50" s="39">
        <f>E39</f>
        <v>53189.206609464651</v>
      </c>
      <c r="F50" s="113"/>
      <c r="G50" s="103" t="s">
        <v>12</v>
      </c>
      <c r="H50" s="39">
        <f>H39</f>
        <v>121254.79681888082</v>
      </c>
    </row>
    <row r="51" spans="4:11" x14ac:dyDescent="0.25">
      <c r="D51" s="103" t="s">
        <v>13</v>
      </c>
      <c r="E51" s="39">
        <f>E40</f>
        <v>214.13808359999985</v>
      </c>
      <c r="F51" s="113"/>
      <c r="G51" s="103" t="s">
        <v>13</v>
      </c>
      <c r="H51" s="39">
        <f>E51</f>
        <v>214.13808359999985</v>
      </c>
    </row>
    <row r="52" spans="4:11" x14ac:dyDescent="0.25">
      <c r="D52" s="79" t="s">
        <v>95</v>
      </c>
      <c r="E52" s="39">
        <f>E41</f>
        <v>3220.6736000000005</v>
      </c>
      <c r="F52" s="126"/>
      <c r="G52" s="79" t="s">
        <v>95</v>
      </c>
      <c r="H52" s="39">
        <f>E52</f>
        <v>3220.6736000000005</v>
      </c>
    </row>
    <row r="53" spans="4:11" x14ac:dyDescent="0.25">
      <c r="D53" s="79" t="s">
        <v>20</v>
      </c>
      <c r="E53" s="39">
        <f>E42</f>
        <v>12596.302977822215</v>
      </c>
      <c r="F53" s="126"/>
      <c r="G53" s="79" t="s">
        <v>20</v>
      </c>
      <c r="H53" s="39">
        <f>E53</f>
        <v>12596.302977822215</v>
      </c>
    </row>
    <row r="54" spans="4:11" x14ac:dyDescent="0.25">
      <c r="D54" s="103" t="s">
        <v>5</v>
      </c>
      <c r="E54" s="39">
        <f>E43</f>
        <v>2492.4416000595602</v>
      </c>
      <c r="F54" s="113"/>
      <c r="G54" s="103" t="s">
        <v>5</v>
      </c>
      <c r="H54" s="39">
        <f t="shared" ref="H54:H55" si="14">E54</f>
        <v>2492.4416000595602</v>
      </c>
      <c r="I54" s="16"/>
    </row>
    <row r="55" spans="4:11" x14ac:dyDescent="0.25">
      <c r="D55" s="103" t="s">
        <v>18</v>
      </c>
      <c r="E55" s="39">
        <f>T35</f>
        <v>310188.64665674104</v>
      </c>
      <c r="F55" s="114"/>
      <c r="G55" s="103" t="s">
        <v>18</v>
      </c>
      <c r="H55" s="39">
        <f t="shared" si="14"/>
        <v>310188.64665674104</v>
      </c>
      <c r="I55" s="16"/>
    </row>
    <row r="56" spans="4:11" x14ac:dyDescent="0.25">
      <c r="D56" s="103" t="s">
        <v>42</v>
      </c>
      <c r="E56" s="78">
        <f>B43-E57</f>
        <v>-38365.978764660133</v>
      </c>
      <c r="F56" s="113"/>
      <c r="G56" s="103" t="s">
        <v>42</v>
      </c>
      <c r="H56" s="78">
        <f>B43-H57</f>
        <v>-106431.5689740763</v>
      </c>
      <c r="I56" s="16"/>
    </row>
    <row r="57" spans="4:11" x14ac:dyDescent="0.25">
      <c r="D57" s="103" t="s">
        <v>22</v>
      </c>
      <c r="E57" s="39">
        <f>SUM(E50:E55)</f>
        <v>381901.40952768747</v>
      </c>
      <c r="F57" s="113"/>
      <c r="G57" s="103" t="s">
        <v>22</v>
      </c>
      <c r="H57" s="39">
        <f>SUM(H50:H55)</f>
        <v>449966.99973710364</v>
      </c>
      <c r="I57" s="16"/>
    </row>
    <row r="58" spans="4:11" x14ac:dyDescent="0.25">
      <c r="I58" s="16"/>
    </row>
    <row r="59" spans="4:11" x14ac:dyDescent="0.25">
      <c r="I59" s="16"/>
    </row>
  </sheetData>
  <mergeCells count="1">
    <mergeCell ref="A6:A7"/>
  </mergeCells>
  <printOptions gridLines="1"/>
  <pageMargins left="0.7" right="0.7" top="0.75" bottom="0.75" header="0.3" footer="0.3"/>
  <pageSetup paperSize="3" scale="80" fitToWidth="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  <pageSetUpPr fitToPage="1"/>
  </sheetPr>
  <dimension ref="A1:AJ62"/>
  <sheetViews>
    <sheetView topLeftCell="A4" zoomScale="70" zoomScaleNormal="70" workbookViewId="0">
      <selection activeCell="A35" sqref="A35"/>
    </sheetView>
  </sheetViews>
  <sheetFormatPr defaultColWidth="9.140625" defaultRowHeight="15" x14ac:dyDescent="0.25"/>
  <cols>
    <col min="1" max="1" width="18.28515625" style="6" customWidth="1"/>
    <col min="2" max="2" width="23.140625" style="6" customWidth="1"/>
    <col min="3" max="4" width="18" style="6" customWidth="1"/>
    <col min="5" max="7" width="19.5703125" style="6" customWidth="1"/>
    <col min="8" max="8" width="12.5703125" style="6" customWidth="1"/>
    <col min="9" max="9" width="25.28515625" style="6" customWidth="1"/>
    <col min="10" max="10" width="8.42578125" style="1" customWidth="1"/>
    <col min="11" max="12" width="29.7109375" style="6" customWidth="1"/>
    <col min="13" max="13" width="33.7109375" customWidth="1"/>
    <col min="14" max="14" width="30.5703125" customWidth="1"/>
    <col min="15" max="15" width="30.5703125" style="115" customWidth="1"/>
    <col min="16" max="16" width="22.85546875" style="68" customWidth="1"/>
    <col min="17" max="17" width="22.85546875" customWidth="1"/>
    <col min="18" max="18" width="22.85546875" style="126" customWidth="1"/>
    <col min="19" max="19" width="22.85546875" style="115" customWidth="1"/>
    <col min="20" max="20" width="22.85546875" style="52" customWidth="1"/>
    <col min="21" max="21" width="28" customWidth="1"/>
    <col min="22" max="22" width="28" style="115" customWidth="1"/>
    <col min="23" max="23" width="27.7109375" customWidth="1"/>
    <col min="24" max="24" width="27.7109375" style="115" customWidth="1"/>
    <col min="25" max="25" width="27.7109375" customWidth="1"/>
    <col min="26" max="26" width="19" customWidth="1"/>
    <col min="27" max="27" width="19" style="115" customWidth="1"/>
    <col min="28" max="28" width="19.7109375" bestFit="1" customWidth="1"/>
    <col min="29" max="29" width="19.7109375" style="115" customWidth="1"/>
    <col min="30" max="30" width="23.5703125" customWidth="1"/>
    <col min="31" max="31" width="26.85546875" bestFit="1" customWidth="1"/>
    <col min="32" max="32" width="35.85546875" customWidth="1"/>
    <col min="33" max="33" width="24.85546875" bestFit="1" customWidth="1"/>
    <col min="34" max="34" width="27.7109375" bestFit="1" customWidth="1"/>
    <col min="35" max="35" width="8.85546875"/>
    <col min="36" max="36" width="11.140625" bestFit="1" customWidth="1"/>
    <col min="37" max="37" width="9.140625" style="6"/>
    <col min="38" max="38" width="8.28515625" style="6" bestFit="1" customWidth="1"/>
    <col min="39" max="39" width="32.5703125" style="6" bestFit="1" customWidth="1"/>
    <col min="40" max="40" width="8.28515625" style="6" bestFit="1" customWidth="1"/>
    <col min="41" max="16384" width="9.140625" style="6"/>
  </cols>
  <sheetData>
    <row r="1" spans="1:36" x14ac:dyDescent="0.25">
      <c r="A1" s="6" t="s">
        <v>108</v>
      </c>
      <c r="B1" s="162">
        <v>43262</v>
      </c>
      <c r="J1" s="127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x14ac:dyDescent="0.25">
      <c r="A2" s="6" t="s">
        <v>109</v>
      </c>
      <c r="B2" s="6" t="s">
        <v>110</v>
      </c>
      <c r="J2" s="127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</row>
    <row r="3" spans="1:36" x14ac:dyDescent="0.25">
      <c r="A3" s="6" t="s">
        <v>32</v>
      </c>
      <c r="J3" s="20"/>
      <c r="K3" s="44"/>
      <c r="L3" s="126"/>
    </row>
    <row r="4" spans="1:36" x14ac:dyDescent="0.25">
      <c r="A4" s="6" t="s">
        <v>15</v>
      </c>
      <c r="J4" s="22"/>
      <c r="K4" s="44"/>
      <c r="L4" s="126"/>
    </row>
    <row r="5" spans="1:36" s="10" customFormat="1" ht="32.25" customHeight="1" x14ac:dyDescent="0.25">
      <c r="B5" s="135"/>
      <c r="C5" s="136"/>
      <c r="D5" s="136"/>
      <c r="E5" s="131"/>
      <c r="F5" s="131"/>
      <c r="G5" s="131"/>
      <c r="H5" s="131"/>
      <c r="I5" s="20"/>
      <c r="J5" s="1"/>
      <c r="K5" s="32"/>
      <c r="L5" s="32"/>
      <c r="M5" s="135"/>
      <c r="N5" s="133"/>
      <c r="O5" s="134"/>
      <c r="P5" s="134"/>
      <c r="Q5" s="135"/>
      <c r="R5" s="135"/>
      <c r="S5" s="135"/>
      <c r="T5" s="135"/>
      <c r="U5" s="6"/>
      <c r="V5" s="6"/>
      <c r="W5" s="6"/>
      <c r="X5" s="6"/>
      <c r="Y5" s="6"/>
      <c r="Z5"/>
      <c r="AA5" s="115"/>
      <c r="AB5"/>
      <c r="AC5" s="115"/>
      <c r="AD5"/>
      <c r="AE5"/>
      <c r="AF5"/>
      <c r="AG5"/>
      <c r="AH5"/>
      <c r="AI5"/>
      <c r="AJ5"/>
    </row>
    <row r="6" spans="1:36" s="10" customFormat="1" ht="45" x14ac:dyDescent="0.25">
      <c r="A6" s="185" t="s">
        <v>1</v>
      </c>
      <c r="B6" s="163" t="s">
        <v>131</v>
      </c>
      <c r="C6" s="163" t="s">
        <v>132</v>
      </c>
      <c r="D6" s="163" t="s">
        <v>2</v>
      </c>
      <c r="E6" s="164" t="s">
        <v>3</v>
      </c>
      <c r="F6" s="164" t="s">
        <v>20</v>
      </c>
      <c r="G6" s="164" t="s">
        <v>11</v>
      </c>
      <c r="I6" s="163" t="s">
        <v>133</v>
      </c>
      <c r="J6" s="141"/>
      <c r="K6" s="173" t="s">
        <v>112</v>
      </c>
      <c r="L6" s="173" t="s">
        <v>99</v>
      </c>
      <c r="M6" s="173" t="s">
        <v>12</v>
      </c>
      <c r="N6" s="173" t="s">
        <v>83</v>
      </c>
      <c r="O6" s="173" t="s">
        <v>91</v>
      </c>
      <c r="P6" s="173" t="s">
        <v>92</v>
      </c>
      <c r="Q6" s="173" t="s">
        <v>5</v>
      </c>
      <c r="R6" s="173" t="s">
        <v>20</v>
      </c>
      <c r="S6" s="173" t="s">
        <v>47</v>
      </c>
      <c r="T6" s="173" t="s">
        <v>48</v>
      </c>
      <c r="V6" s="173" t="s">
        <v>49</v>
      </c>
      <c r="W6" s="173" t="s">
        <v>50</v>
      </c>
      <c r="X6" s="173" t="s">
        <v>46</v>
      </c>
      <c r="Y6" s="173" t="s">
        <v>45</v>
      </c>
      <c r="Z6" s="131"/>
      <c r="AA6" s="173" t="s">
        <v>63</v>
      </c>
      <c r="AB6" s="173" t="s">
        <v>64</v>
      </c>
      <c r="AC6" s="173" t="s">
        <v>65</v>
      </c>
      <c r="AD6" s="173" t="s">
        <v>66</v>
      </c>
      <c r="AE6"/>
      <c r="AF6"/>
      <c r="AG6"/>
      <c r="AH6"/>
      <c r="AI6"/>
      <c r="AJ6"/>
    </row>
    <row r="7" spans="1:36" s="10" customFormat="1" ht="15.75" customHeigh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64" t="s">
        <v>8</v>
      </c>
      <c r="G7" s="164" t="s">
        <v>8</v>
      </c>
      <c r="I7" s="164" t="s">
        <v>8</v>
      </c>
      <c r="J7" s="141"/>
      <c r="K7" s="164" t="s">
        <v>8</v>
      </c>
      <c r="L7" s="164" t="s">
        <v>8</v>
      </c>
      <c r="M7" s="164" t="s">
        <v>8</v>
      </c>
      <c r="N7" s="164" t="s">
        <v>8</v>
      </c>
      <c r="O7" s="174" t="s">
        <v>8</v>
      </c>
      <c r="P7" s="174" t="s">
        <v>8</v>
      </c>
      <c r="Q7" s="164" t="s">
        <v>8</v>
      </c>
      <c r="R7" s="164" t="s">
        <v>8</v>
      </c>
      <c r="S7" s="164"/>
      <c r="T7" s="164" t="s">
        <v>8</v>
      </c>
      <c r="V7" s="174" t="s">
        <v>8</v>
      </c>
      <c r="W7" s="174" t="s">
        <v>8</v>
      </c>
      <c r="X7" s="174" t="s">
        <v>8</v>
      </c>
      <c r="Y7" s="174" t="s">
        <v>8</v>
      </c>
      <c r="Z7" s="131"/>
      <c r="AA7" s="174" t="s">
        <v>8</v>
      </c>
      <c r="AB7" s="174" t="s">
        <v>8</v>
      </c>
      <c r="AC7" s="174" t="s">
        <v>8</v>
      </c>
      <c r="AD7" s="174" t="s">
        <v>8</v>
      </c>
      <c r="AE7"/>
      <c r="AF7"/>
      <c r="AG7"/>
      <c r="AH7"/>
      <c r="AI7"/>
      <c r="AJ7"/>
    </row>
    <row r="8" spans="1:36" x14ac:dyDescent="0.25">
      <c r="A8" s="143">
        <v>1988</v>
      </c>
      <c r="B8" s="144">
        <f>'[1]Capped Flow'!W7</f>
        <v>38122.919999999984</v>
      </c>
      <c r="C8" s="144">
        <f>'[1]Upper Platte Gage Data'!I8</f>
        <v>29898.000000000004</v>
      </c>
      <c r="D8" s="144">
        <f>B8+C8</f>
        <v>68020.919999999984</v>
      </c>
      <c r="E8" s="145">
        <f>[2]SWCU!M10</f>
        <v>638.68281749272273</v>
      </c>
      <c r="F8" s="145">
        <f>'[2]Reservoir Evap'!L11+'[2]Reservoir Evap'!M11</f>
        <v>7877.5301494505429</v>
      </c>
      <c r="G8" s="145">
        <f>'[2]GW Depletions'!X15</f>
        <v>17911.926152892564</v>
      </c>
      <c r="I8" s="78">
        <f t="shared" ref="I8:I32" si="0">SUM(D8:G8)</f>
        <v>94449.059119835816</v>
      </c>
      <c r="J8" s="17"/>
      <c r="K8" s="72">
        <f>[2]SWDemand!R14</f>
        <v>3921.4923000000031</v>
      </c>
      <c r="L8" s="72">
        <f>'[2]M&amp;I COHYST Summary'!D36</f>
        <v>980.32999999999981</v>
      </c>
      <c r="M8" s="72">
        <f>MAX([2]GWCU!E12*0.3,G8)</f>
        <v>38589.12975</v>
      </c>
      <c r="N8" s="72">
        <f>IF('[3]DS Demand'!T7&gt;0,'[3]DS Demand'!T7,0)</f>
        <v>188802.58380486892</v>
      </c>
      <c r="O8" s="72">
        <f>MIN(92*3762-'NorthPlatte_IRR Season'!U8,P8)</f>
        <v>85495.266152892553</v>
      </c>
      <c r="P8" s="72">
        <f>'[1]South Platte Roscoe'!E10</f>
        <v>85495.266152892553</v>
      </c>
      <c r="Q8" s="73">
        <f>'[2]Net SW Loss'!Q13</f>
        <v>10436.380000290046</v>
      </c>
      <c r="R8" s="111">
        <f t="shared" ref="R8:R32" si="1">F8</f>
        <v>7877.5301494505429</v>
      </c>
      <c r="S8" s="111">
        <f t="shared" ref="S8:S32" si="2">MAX(N8,O8)</f>
        <v>188802.58380486892</v>
      </c>
      <c r="T8" s="111">
        <f t="shared" ref="T8:T32" si="3">MAX(N8,P8)</f>
        <v>188802.58380486892</v>
      </c>
      <c r="U8" s="19"/>
      <c r="V8" s="73">
        <f>K8+G8+Q8+S8+R8+L8</f>
        <v>229930.24240750208</v>
      </c>
      <c r="W8" s="73">
        <f>K8+G8+Q8+T8+R8+L8</f>
        <v>229930.24240750208</v>
      </c>
      <c r="X8" s="73">
        <f>M8+Q8+K8+S8+R8+L8</f>
        <v>250607.44600460952</v>
      </c>
      <c r="Y8" s="73">
        <f>M8+Q8+K8+T8+R8+L8</f>
        <v>250607.44600460952</v>
      </c>
      <c r="Z8" s="138"/>
      <c r="AA8" s="87">
        <f t="shared" ref="AA8:AA32" si="4">$I8-V8</f>
        <v>-135481.18328766627</v>
      </c>
      <c r="AB8" s="87">
        <f t="shared" ref="AB8:AB32" si="5">$I8-W8</f>
        <v>-135481.18328766627</v>
      </c>
      <c r="AC8" s="87">
        <f t="shared" ref="AC8:AC32" si="6">$I8-X8</f>
        <v>-156158.3868847737</v>
      </c>
      <c r="AD8" s="87">
        <f t="shared" ref="AD8:AD32" si="7">$I8-Y8</f>
        <v>-156158.3868847737</v>
      </c>
    </row>
    <row r="9" spans="1:36" x14ac:dyDescent="0.25">
      <c r="A9" s="143">
        <v>1989</v>
      </c>
      <c r="B9" s="144">
        <f>'[1]Capped Flow'!W8</f>
        <v>28931.759999999998</v>
      </c>
      <c r="C9" s="144">
        <f>'[1]Upper Platte Gage Data'!I9</f>
        <v>10177.200000000003</v>
      </c>
      <c r="D9" s="144">
        <f t="shared" ref="D9:D32" si="8">B9+C9</f>
        <v>39108.959999999999</v>
      </c>
      <c r="E9" s="145">
        <f>[2]SWCU!M11</f>
        <v>250.36681799818075</v>
      </c>
      <c r="F9" s="145">
        <f>'[2]Reservoir Evap'!L12+'[2]Reservoir Evap'!M12</f>
        <v>6996.7782941928126</v>
      </c>
      <c r="G9" s="145">
        <f>'[2]GW Depletions'!X16</f>
        <v>20567.98931841139</v>
      </c>
      <c r="I9" s="78">
        <f t="shared" si="0"/>
        <v>66924.094430602388</v>
      </c>
      <c r="J9" s="17"/>
      <c r="K9" s="72">
        <f>[2]SWDemand!R15</f>
        <v>2661.6903900000011</v>
      </c>
      <c r="L9" s="72">
        <f>'[2]M&amp;I COHYST Summary'!D37</f>
        <v>974.41000000000008</v>
      </c>
      <c r="M9" s="72">
        <f>MAX([2]GWCU!E13*0.3,G9)</f>
        <v>51362.900637499959</v>
      </c>
      <c r="N9" s="72">
        <f>IF('[3]DS Demand'!T8&gt;0,'[3]DS Demand'!T8,0)</f>
        <v>226024.79249080049</v>
      </c>
      <c r="O9" s="72">
        <f>MIN(92*3762-'NorthPlatte_IRR Season'!U9,P9)</f>
        <v>59728.429318411399</v>
      </c>
      <c r="P9" s="72">
        <f>'[1]South Platte Roscoe'!E11</f>
        <v>59728.429318411399</v>
      </c>
      <c r="Q9" s="73">
        <f>'[2]Net SW Loss'!Q14</f>
        <v>8389.7200002600184</v>
      </c>
      <c r="R9" s="111">
        <f t="shared" si="1"/>
        <v>6996.7782941928126</v>
      </c>
      <c r="S9" s="111">
        <f t="shared" si="2"/>
        <v>226024.79249080049</v>
      </c>
      <c r="T9" s="111">
        <f t="shared" si="3"/>
        <v>226024.79249080049</v>
      </c>
      <c r="U9" s="19"/>
      <c r="V9" s="73">
        <f t="shared" ref="V9:V32" si="9">K9+G9+Q9+S9+R9+L9</f>
        <v>265615.38049366471</v>
      </c>
      <c r="W9" s="73">
        <f t="shared" ref="W9:W32" si="10">K9+G9+Q9+T9+R9+L9</f>
        <v>265615.38049366471</v>
      </c>
      <c r="X9" s="73">
        <f t="shared" ref="X9:X32" si="11">M9+Q9+K9+S9+R9+L9</f>
        <v>296410.29181275325</v>
      </c>
      <c r="Y9" s="73">
        <f t="shared" ref="Y9:Y32" si="12">M9+Q9+K9+T9+R9+L9</f>
        <v>296410.29181275325</v>
      </c>
      <c r="AA9" s="151">
        <f t="shared" si="4"/>
        <v>-198691.28606306232</v>
      </c>
      <c r="AB9" s="151">
        <f t="shared" si="5"/>
        <v>-198691.28606306232</v>
      </c>
      <c r="AC9" s="151">
        <f t="shared" si="6"/>
        <v>-229486.19738215086</v>
      </c>
      <c r="AD9" s="151">
        <f t="shared" si="7"/>
        <v>-229486.19738215086</v>
      </c>
    </row>
    <row r="10" spans="1:36" x14ac:dyDescent="0.25">
      <c r="A10" s="143">
        <v>1990</v>
      </c>
      <c r="B10" s="144">
        <f>'[1]Capped Flow'!W9</f>
        <v>25181.639999999981</v>
      </c>
      <c r="C10" s="144">
        <f>'[1]Upper Platte Gage Data'!I10</f>
        <v>5165.8200000000006</v>
      </c>
      <c r="D10" s="144">
        <f t="shared" si="8"/>
        <v>30347.459999999981</v>
      </c>
      <c r="E10" s="145">
        <f>[2]SWCU!M12</f>
        <v>487.11276901698091</v>
      </c>
      <c r="F10" s="145">
        <f>'[2]Reservoir Evap'!L13+'[2]Reservoir Evap'!M13</f>
        <v>8017.505283617942</v>
      </c>
      <c r="G10" s="145">
        <f>'[2]GW Depletions'!X17</f>
        <v>20897.486120293848</v>
      </c>
      <c r="I10" s="78">
        <f t="shared" si="0"/>
        <v>59749.564172928753</v>
      </c>
      <c r="J10" s="17"/>
      <c r="K10" s="72">
        <f>[2]SWDemand!R16</f>
        <v>3206.3011500000016</v>
      </c>
      <c r="L10" s="72">
        <f>'[2]M&amp;I COHYST Summary'!D38</f>
        <v>985.61999999999989</v>
      </c>
      <c r="M10" s="72">
        <f>MAX([2]GWCU!E14*0.3,G10)</f>
        <v>46983.281452500014</v>
      </c>
      <c r="N10" s="72">
        <f>IF('[3]DS Demand'!T9&gt;0,'[3]DS Demand'!T9,0)</f>
        <v>283426.65526954859</v>
      </c>
      <c r="O10" s="72">
        <f>MIN(92*3762-'NorthPlatte_IRR Season'!U10,P10)</f>
        <v>51299.396120293852</v>
      </c>
      <c r="P10" s="72">
        <f>'[1]South Platte Roscoe'!E12</f>
        <v>51299.396120293852</v>
      </c>
      <c r="Q10" s="73">
        <f>'[2]Net SW Loss'!Q15</f>
        <v>8518.2999994800175</v>
      </c>
      <c r="R10" s="111">
        <f t="shared" si="1"/>
        <v>8017.505283617942</v>
      </c>
      <c r="S10" s="111">
        <f t="shared" si="2"/>
        <v>283426.65526954859</v>
      </c>
      <c r="T10" s="111">
        <f t="shared" si="3"/>
        <v>283426.65526954859</v>
      </c>
      <c r="U10" s="19"/>
      <c r="V10" s="73">
        <f t="shared" si="9"/>
        <v>325051.8678229404</v>
      </c>
      <c r="W10" s="73">
        <f t="shared" si="10"/>
        <v>325051.8678229404</v>
      </c>
      <c r="X10" s="73">
        <f t="shared" si="11"/>
        <v>351137.66315514658</v>
      </c>
      <c r="Y10" s="73">
        <f t="shared" si="12"/>
        <v>351137.66315514658</v>
      </c>
      <c r="AA10" s="151">
        <f t="shared" si="4"/>
        <v>-265302.30365001166</v>
      </c>
      <c r="AB10" s="151">
        <f t="shared" si="5"/>
        <v>-265302.30365001166</v>
      </c>
      <c r="AC10" s="151">
        <f t="shared" si="6"/>
        <v>-291388.09898221784</v>
      </c>
      <c r="AD10" s="151">
        <f t="shared" si="7"/>
        <v>-291388.09898221784</v>
      </c>
    </row>
    <row r="11" spans="1:36" x14ac:dyDescent="0.25">
      <c r="A11" s="143">
        <v>1991</v>
      </c>
      <c r="B11" s="144">
        <f>'[1]Capped Flow'!W10</f>
        <v>49668.3</v>
      </c>
      <c r="C11" s="144">
        <f>'[1]Upper Platte Gage Data'!I11</f>
        <v>28824.641999999993</v>
      </c>
      <c r="D11" s="144">
        <f t="shared" si="8"/>
        <v>78492.941999999995</v>
      </c>
      <c r="E11" s="145">
        <f>[2]SWCU!M13</f>
        <v>385.81136100727787</v>
      </c>
      <c r="F11" s="145">
        <f>'[2]Reservoir Evap'!L14+'[2]Reservoir Evap'!M14</f>
        <v>8540.5936782947101</v>
      </c>
      <c r="G11" s="145">
        <f>'[2]GW Depletions'!X18</f>
        <v>20398.63043663912</v>
      </c>
      <c r="I11" s="78">
        <f t="shared" si="0"/>
        <v>107817.97747594109</v>
      </c>
      <c r="J11" s="17"/>
      <c r="K11" s="72">
        <f>[2]SWDemand!R17</f>
        <v>2949.6515100000033</v>
      </c>
      <c r="L11" s="72">
        <f>'[2]M&amp;I COHYST Summary'!D39</f>
        <v>986.05</v>
      </c>
      <c r="M11" s="72">
        <f>MAX([2]GWCU!E15*0.3,G11)</f>
        <v>42662.706364999947</v>
      </c>
      <c r="N11" s="72">
        <f>IF('[3]DS Demand'!T10&gt;0,'[3]DS Demand'!T10,0)</f>
        <v>280764.80792513071</v>
      </c>
      <c r="O11" s="72">
        <f>MIN(92*3762-'NorthPlatte_IRR Season'!U11,P11)</f>
        <v>98890.780436639121</v>
      </c>
      <c r="P11" s="72">
        <f>'[1]South Platte Roscoe'!E13</f>
        <v>98890.780436639121</v>
      </c>
      <c r="Q11" s="73">
        <f>'[2]Net SW Loss'!Q16</f>
        <v>9915.9799998000035</v>
      </c>
      <c r="R11" s="111">
        <f t="shared" si="1"/>
        <v>8540.5936782947101</v>
      </c>
      <c r="S11" s="111">
        <f t="shared" si="2"/>
        <v>280764.80792513071</v>
      </c>
      <c r="T11" s="111">
        <f t="shared" si="3"/>
        <v>280764.80792513071</v>
      </c>
      <c r="U11" s="19"/>
      <c r="V11" s="73">
        <f t="shared" si="9"/>
        <v>323555.71354986454</v>
      </c>
      <c r="W11" s="73">
        <f t="shared" si="10"/>
        <v>323555.71354986454</v>
      </c>
      <c r="X11" s="73">
        <f t="shared" si="11"/>
        <v>345819.78947822534</v>
      </c>
      <c r="Y11" s="73">
        <f t="shared" si="12"/>
        <v>345819.78947822534</v>
      </c>
      <c r="AA11" s="151">
        <f t="shared" si="4"/>
        <v>-215737.73607392344</v>
      </c>
      <c r="AB11" s="151">
        <f t="shared" si="5"/>
        <v>-215737.73607392344</v>
      </c>
      <c r="AC11" s="151">
        <f t="shared" si="6"/>
        <v>-238001.81200228425</v>
      </c>
      <c r="AD11" s="151">
        <f t="shared" si="7"/>
        <v>-238001.81200228425</v>
      </c>
    </row>
    <row r="12" spans="1:36" x14ac:dyDescent="0.25">
      <c r="A12" s="143">
        <v>1992</v>
      </c>
      <c r="B12" s="144">
        <f>'[1]Capped Flow'!W11</f>
        <v>41461.200000000004</v>
      </c>
      <c r="C12" s="144">
        <f>'[1]Upper Platte Gage Data'!I12</f>
        <v>46654.74000000002</v>
      </c>
      <c r="D12" s="144">
        <f t="shared" si="8"/>
        <v>88115.940000000031</v>
      </c>
      <c r="E12" s="145">
        <f>[2]SWCU!M14</f>
        <v>4847.3002695291134</v>
      </c>
      <c r="F12" s="145">
        <f>'[2]Reservoir Evap'!L15+'[2]Reservoir Evap'!M15</f>
        <v>7263.2653874262869</v>
      </c>
      <c r="G12" s="145">
        <f>'[2]GW Depletions'!X19</f>
        <v>19762.035106978878</v>
      </c>
      <c r="I12" s="78">
        <f t="shared" si="0"/>
        <v>119988.5407639343</v>
      </c>
      <c r="J12" s="17"/>
      <c r="K12" s="72">
        <f>[2]SWDemand!R18</f>
        <v>8131.664129999991</v>
      </c>
      <c r="L12" s="72">
        <f>'[2]M&amp;I COHYST Summary'!D40</f>
        <v>986.42999999999984</v>
      </c>
      <c r="M12" s="72">
        <f>MAX([2]GWCU!E16*0.3,G12)</f>
        <v>39742.091574999984</v>
      </c>
      <c r="N12" s="72">
        <f>IF('[3]DS Demand'!T11&gt;0,'[3]DS Demand'!T11,0)</f>
        <v>192556.69813823918</v>
      </c>
      <c r="O12" s="72">
        <f>MIN(92*3762-'NorthPlatte_IRR Season'!U12,P12)</f>
        <v>109935.19510697886</v>
      </c>
      <c r="P12" s="72">
        <f>'[1]South Platte Roscoe'!E14</f>
        <v>109935.19510697886</v>
      </c>
      <c r="Q12" s="73">
        <f>'[2]Net SW Loss'!Q17</f>
        <v>11257.579999500018</v>
      </c>
      <c r="R12" s="111">
        <f t="shared" si="1"/>
        <v>7263.2653874262869</v>
      </c>
      <c r="S12" s="111">
        <f t="shared" si="2"/>
        <v>192556.69813823918</v>
      </c>
      <c r="T12" s="111">
        <f t="shared" si="3"/>
        <v>192556.69813823918</v>
      </c>
      <c r="U12" s="19"/>
      <c r="V12" s="73">
        <f t="shared" si="9"/>
        <v>239957.67276214433</v>
      </c>
      <c r="W12" s="73">
        <f t="shared" si="10"/>
        <v>239957.67276214433</v>
      </c>
      <c r="X12" s="73">
        <f t="shared" si="11"/>
        <v>259937.72923016545</v>
      </c>
      <c r="Y12" s="73">
        <f t="shared" si="12"/>
        <v>259937.72923016545</v>
      </c>
      <c r="AA12" s="151">
        <f t="shared" si="4"/>
        <v>-119969.13199821002</v>
      </c>
      <c r="AB12" s="151">
        <f t="shared" si="5"/>
        <v>-119969.13199821002</v>
      </c>
      <c r="AC12" s="151">
        <f t="shared" si="6"/>
        <v>-139949.18846623116</v>
      </c>
      <c r="AD12" s="151">
        <f t="shared" si="7"/>
        <v>-139949.18846623116</v>
      </c>
    </row>
    <row r="13" spans="1:36" x14ac:dyDescent="0.25">
      <c r="A13" s="143">
        <v>1993</v>
      </c>
      <c r="B13" s="144">
        <f>'[1]Capped Flow'!W12</f>
        <v>47377.440000000017</v>
      </c>
      <c r="C13" s="144">
        <f>'[1]Upper Platte Gage Data'!I13</f>
        <v>8005.1400000000012</v>
      </c>
      <c r="D13" s="144">
        <f t="shared" si="8"/>
        <v>55382.580000000016</v>
      </c>
      <c r="E13" s="145">
        <f>[2]SWCU!M15</f>
        <v>102.57495300788381</v>
      </c>
      <c r="F13" s="145">
        <f>'[2]Reservoir Evap'!L16+'[2]Reservoir Evap'!M16</f>
        <v>4161.7871161842186</v>
      </c>
      <c r="G13" s="145">
        <f>'[2]GW Depletions'!X20</f>
        <v>18719.610476928374</v>
      </c>
      <c r="I13" s="78">
        <f t="shared" si="0"/>
        <v>78366.552546120496</v>
      </c>
      <c r="J13" s="17"/>
      <c r="K13" s="72">
        <f>[2]SWDemand!R19</f>
        <v>1607.6429700000003</v>
      </c>
      <c r="L13" s="72">
        <f>'[2]M&amp;I COHYST Summary'!D41</f>
        <v>1004.1499999999999</v>
      </c>
      <c r="M13" s="72">
        <f>MAX([2]GWCU!E17*0.3,G13)</f>
        <v>34594.035649999962</v>
      </c>
      <c r="N13" s="72">
        <f>IF('[3]DS Demand'!T12&gt;0,'[3]DS Demand'!T12,0)</f>
        <v>74011.110476928356</v>
      </c>
      <c r="O13" s="72">
        <f>MIN(92*3762-'NorthPlatte_IRR Season'!U13,P13)</f>
        <v>74011.110476928356</v>
      </c>
      <c r="P13" s="72">
        <f>'[1]South Platte Roscoe'!E15</f>
        <v>74011.110476928356</v>
      </c>
      <c r="Q13" s="73">
        <f>'[2]Net SW Loss'!Q18</f>
        <v>10064.359999529983</v>
      </c>
      <c r="R13" s="111">
        <f t="shared" si="1"/>
        <v>4161.7871161842186</v>
      </c>
      <c r="S13" s="111">
        <f t="shared" si="2"/>
        <v>74011.110476928356</v>
      </c>
      <c r="T13" s="111">
        <f t="shared" si="3"/>
        <v>74011.110476928356</v>
      </c>
      <c r="U13" s="19"/>
      <c r="V13" s="73">
        <f t="shared" si="9"/>
        <v>109568.66103957093</v>
      </c>
      <c r="W13" s="73">
        <f t="shared" si="10"/>
        <v>109568.66103957093</v>
      </c>
      <c r="X13" s="73">
        <f t="shared" si="11"/>
        <v>125443.08621264252</v>
      </c>
      <c r="Y13" s="73">
        <f t="shared" si="12"/>
        <v>125443.08621264252</v>
      </c>
      <c r="AA13" s="151">
        <f t="shared" si="4"/>
        <v>-31202.108493450432</v>
      </c>
      <c r="AB13" s="151">
        <f t="shared" si="5"/>
        <v>-31202.108493450432</v>
      </c>
      <c r="AC13" s="151">
        <f t="shared" si="6"/>
        <v>-47076.533666522024</v>
      </c>
      <c r="AD13" s="151">
        <f t="shared" si="7"/>
        <v>-47076.533666522024</v>
      </c>
    </row>
    <row r="14" spans="1:36" x14ac:dyDescent="0.25">
      <c r="A14" s="143">
        <v>1994</v>
      </c>
      <c r="B14" s="144">
        <f>'[1]Capped Flow'!W13</f>
        <v>32202.719999999994</v>
      </c>
      <c r="C14" s="144">
        <f>'[1]Upper Platte Gage Data'!I14</f>
        <v>0</v>
      </c>
      <c r="D14" s="144">
        <f t="shared" si="8"/>
        <v>32202.719999999994</v>
      </c>
      <c r="E14" s="145">
        <f>[2]SWCU!M16</f>
        <v>0</v>
      </c>
      <c r="F14" s="145">
        <f>'[2]Reservoir Evap'!L17+'[2]Reservoir Evap'!M17</f>
        <v>5330.3916067009632</v>
      </c>
      <c r="G14" s="145">
        <f>'[2]GW Depletions'!X21</f>
        <v>20460.468518939397</v>
      </c>
      <c r="I14" s="78">
        <f t="shared" si="0"/>
        <v>57993.58012564035</v>
      </c>
      <c r="J14" s="17"/>
      <c r="K14" s="72">
        <f>[2]SWDemand!R20</f>
        <v>2300.4514499999996</v>
      </c>
      <c r="L14" s="72">
        <f>'[2]M&amp;I COHYST Summary'!D42</f>
        <v>782.71</v>
      </c>
      <c r="M14" s="72">
        <f>MAX([2]GWCU!E18*0.3,G14)</f>
        <v>47742.287847499989</v>
      </c>
      <c r="N14" s="72">
        <f>IF('[3]DS Demand'!T13&gt;0,'[3]DS Demand'!T13,0)</f>
        <v>119093.88392828265</v>
      </c>
      <c r="O14" s="72">
        <f>MIN(92*3762-'NorthPlatte_IRR Season'!U14,P14)</f>
        <v>52540.567118939391</v>
      </c>
      <c r="P14" s="72">
        <f>'[1]South Platte Roscoe'!E16</f>
        <v>52540.567118939391</v>
      </c>
      <c r="Q14" s="73">
        <f>'[2]Net SW Loss'!Q19</f>
        <v>5530.5699994500137</v>
      </c>
      <c r="R14" s="111">
        <f t="shared" si="1"/>
        <v>5330.3916067009632</v>
      </c>
      <c r="S14" s="111">
        <f t="shared" si="2"/>
        <v>119093.88392828265</v>
      </c>
      <c r="T14" s="111">
        <f t="shared" si="3"/>
        <v>119093.88392828265</v>
      </c>
      <c r="U14" s="19"/>
      <c r="V14" s="73">
        <f t="shared" si="9"/>
        <v>153498.47550337302</v>
      </c>
      <c r="W14" s="73">
        <f t="shared" si="10"/>
        <v>153498.47550337302</v>
      </c>
      <c r="X14" s="73">
        <f t="shared" si="11"/>
        <v>180780.2948319336</v>
      </c>
      <c r="Y14" s="73">
        <f t="shared" si="12"/>
        <v>180780.2948319336</v>
      </c>
      <c r="AA14" s="151">
        <f t="shared" si="4"/>
        <v>-95504.895377732668</v>
      </c>
      <c r="AB14" s="151">
        <f t="shared" si="5"/>
        <v>-95504.895377732668</v>
      </c>
      <c r="AC14" s="151">
        <f t="shared" si="6"/>
        <v>-122786.71470629325</v>
      </c>
      <c r="AD14" s="151">
        <f t="shared" si="7"/>
        <v>-122786.71470629325</v>
      </c>
    </row>
    <row r="15" spans="1:36" x14ac:dyDescent="0.25">
      <c r="A15" s="143">
        <v>1995</v>
      </c>
      <c r="B15" s="144">
        <f>'[1]Capped Flow'!W14</f>
        <v>192101.58000000002</v>
      </c>
      <c r="C15" s="144">
        <f>'[1]Upper Platte Gage Data'!I15</f>
        <v>138994.01999999999</v>
      </c>
      <c r="D15" s="144">
        <f t="shared" si="8"/>
        <v>331095.59999999998</v>
      </c>
      <c r="E15" s="145">
        <f>[2]SWCU!M17</f>
        <v>1769.4088425157663</v>
      </c>
      <c r="F15" s="145">
        <f>'[2]Reservoir Evap'!L18+'[2]Reservoir Evap'!M18</f>
        <v>6365.5926776054575</v>
      </c>
      <c r="G15" s="145">
        <f>'[2]GW Depletions'!X22</f>
        <v>20411.108823806248</v>
      </c>
      <c r="I15" s="78">
        <f t="shared" si="0"/>
        <v>359641.71034392744</v>
      </c>
      <c r="J15" s="17"/>
      <c r="K15" s="72">
        <f>[2]SWDemand!R21</f>
        <v>2878.1557200000038</v>
      </c>
      <c r="L15" s="72">
        <f>'[2]M&amp;I COHYST Summary'!D43</f>
        <v>783.90999999999985</v>
      </c>
      <c r="M15" s="72">
        <f>MAX([2]GWCU!E19*0.3,G15)</f>
        <v>40859.827630000007</v>
      </c>
      <c r="N15" s="72">
        <f>IF('[3]DS Demand'!T14&gt;0,'[3]DS Demand'!T14,0)</f>
        <v>143440.22155994698</v>
      </c>
      <c r="O15" s="72">
        <f>MIN(92*3762-'NorthPlatte_IRR Season'!U15,P15)</f>
        <v>27324</v>
      </c>
      <c r="P15" s="72">
        <f>'[1]South Platte Roscoe'!E17</f>
        <v>154836</v>
      </c>
      <c r="Q15" s="73">
        <f>'[2]Net SW Loss'!Q20</f>
        <v>11297.589999810021</v>
      </c>
      <c r="R15" s="111">
        <f t="shared" si="1"/>
        <v>6365.5926776054575</v>
      </c>
      <c r="S15" s="111">
        <f t="shared" si="2"/>
        <v>143440.22155994698</v>
      </c>
      <c r="T15" s="111">
        <f t="shared" si="3"/>
        <v>154836</v>
      </c>
      <c r="U15" s="19"/>
      <c r="V15" s="73">
        <f t="shared" si="9"/>
        <v>185176.5787811687</v>
      </c>
      <c r="W15" s="73">
        <f t="shared" si="10"/>
        <v>196572.35722122173</v>
      </c>
      <c r="X15" s="73">
        <f t="shared" si="11"/>
        <v>205625.29758736247</v>
      </c>
      <c r="Y15" s="73">
        <f t="shared" si="12"/>
        <v>217021.07602741549</v>
      </c>
      <c r="AA15" s="151">
        <f t="shared" si="4"/>
        <v>174465.13156275873</v>
      </c>
      <c r="AB15" s="151">
        <f t="shared" si="5"/>
        <v>163069.35312270571</v>
      </c>
      <c r="AC15" s="151">
        <f t="shared" si="6"/>
        <v>154016.41275656497</v>
      </c>
      <c r="AD15" s="151">
        <f t="shared" si="7"/>
        <v>142620.63431651195</v>
      </c>
    </row>
    <row r="16" spans="1:36" x14ac:dyDescent="0.25">
      <c r="A16" s="143">
        <v>1996</v>
      </c>
      <c r="B16" s="144">
        <f>'[1]Capped Flow'!W15</f>
        <v>55293.479999999996</v>
      </c>
      <c r="C16" s="144">
        <f>'[1]Upper Platte Gage Data'!I16</f>
        <v>39994.019999999997</v>
      </c>
      <c r="D16" s="144">
        <f t="shared" si="8"/>
        <v>95287.5</v>
      </c>
      <c r="E16" s="145">
        <f>[2]SWCU!M18</f>
        <v>871.16542500303228</v>
      </c>
      <c r="F16" s="145">
        <f>'[2]Reservoir Evap'!L19+'[2]Reservoir Evap'!M19</f>
        <v>5926.90881470573</v>
      </c>
      <c r="G16" s="145">
        <f>'[2]GW Depletions'!X23</f>
        <v>19368.504236455461</v>
      </c>
      <c r="I16" s="78">
        <f t="shared" si="0"/>
        <v>121454.07847616423</v>
      </c>
      <c r="J16" s="17"/>
      <c r="K16" s="72">
        <f>[2]SWDemand!R22</f>
        <v>1649.3294100000003</v>
      </c>
      <c r="L16" s="72">
        <f>'[2]M&amp;I COHYST Summary'!D44</f>
        <v>787.94999999999993</v>
      </c>
      <c r="M16" s="72">
        <f>MAX([2]GWCU!E20*0.3,G16)</f>
        <v>36149.686632499957</v>
      </c>
      <c r="N16" s="72">
        <f>IF('[3]DS Demand'!T15&gt;0,'[3]DS Demand'!T15,0)</f>
        <v>122387.83564366553</v>
      </c>
      <c r="O16" s="72">
        <f>MIN(92*3762-'NorthPlatte_IRR Season'!U16,P16)</f>
        <v>27324</v>
      </c>
      <c r="P16" s="72">
        <f>'[1]South Platte Roscoe'!E18</f>
        <v>113347.22423645545</v>
      </c>
      <c r="Q16" s="73">
        <f>'[2]Net SW Loss'!Q21</f>
        <v>11274.63000024002</v>
      </c>
      <c r="R16" s="111">
        <f t="shared" si="1"/>
        <v>5926.90881470573</v>
      </c>
      <c r="S16" s="111">
        <f t="shared" si="2"/>
        <v>122387.83564366553</v>
      </c>
      <c r="T16" s="111">
        <f t="shared" si="3"/>
        <v>122387.83564366553</v>
      </c>
      <c r="U16" s="19"/>
      <c r="V16" s="73">
        <f t="shared" si="9"/>
        <v>161395.15810506674</v>
      </c>
      <c r="W16" s="73">
        <f t="shared" si="10"/>
        <v>161395.15810506674</v>
      </c>
      <c r="X16" s="73">
        <f t="shared" si="11"/>
        <v>178176.34050111126</v>
      </c>
      <c r="Y16" s="73">
        <f t="shared" si="12"/>
        <v>178176.34050111126</v>
      </c>
      <c r="AA16" s="151">
        <f t="shared" si="4"/>
        <v>-39941.079628902517</v>
      </c>
      <c r="AB16" s="151">
        <f t="shared" si="5"/>
        <v>-39941.079628902517</v>
      </c>
      <c r="AC16" s="151">
        <f t="shared" si="6"/>
        <v>-56722.262024947035</v>
      </c>
      <c r="AD16" s="151">
        <f t="shared" si="7"/>
        <v>-56722.262024947035</v>
      </c>
    </row>
    <row r="17" spans="1:30" x14ac:dyDescent="0.25">
      <c r="A17" s="143">
        <v>1997</v>
      </c>
      <c r="B17" s="144">
        <f>'[1]Capped Flow'!W16</f>
        <v>173323.25999999992</v>
      </c>
      <c r="C17" s="144">
        <f>'[1]Upper Platte Gage Data'!I17</f>
        <v>47343.780000000013</v>
      </c>
      <c r="D17" s="144">
        <f t="shared" si="8"/>
        <v>220667.03999999992</v>
      </c>
      <c r="E17" s="145">
        <f>[2]SWCU!M19</f>
        <v>4456.0187295448814</v>
      </c>
      <c r="F17" s="145">
        <f>'[2]Reservoir Evap'!L20+'[2]Reservoir Evap'!M20</f>
        <v>3464.699850778763</v>
      </c>
      <c r="G17" s="145">
        <f>'[2]GW Depletions'!X24</f>
        <v>21226.318905647382</v>
      </c>
      <c r="I17" s="78">
        <f t="shared" si="0"/>
        <v>249814.07748597095</v>
      </c>
      <c r="J17" s="17"/>
      <c r="K17" s="72">
        <f>[2]SWDemand!R23</f>
        <v>7721.8438800000031</v>
      </c>
      <c r="L17" s="72">
        <f>'[2]M&amp;I COHYST Summary'!D45</f>
        <v>788.96999999999991</v>
      </c>
      <c r="M17" s="72">
        <f>MAX([2]GWCU!E21*0.3,G17)</f>
        <v>45674.391157499966</v>
      </c>
      <c r="N17" s="72">
        <f>IF('[3]DS Demand'!T16&gt;0,'[3]DS Demand'!T16,0)</f>
        <v>134316.69564993316</v>
      </c>
      <c r="O17" s="72">
        <f>MIN(92*3762-'NorthPlatte_IRR Season'!U17,P17)</f>
        <v>27324</v>
      </c>
      <c r="P17" s="72">
        <f>'[1]South Platte Roscoe'!E19</f>
        <v>154836</v>
      </c>
      <c r="Q17" s="73">
        <f>'[2]Net SW Loss'!Q22</f>
        <v>11262.769999410033</v>
      </c>
      <c r="R17" s="111">
        <f t="shared" si="1"/>
        <v>3464.699850778763</v>
      </c>
      <c r="S17" s="111">
        <f t="shared" si="2"/>
        <v>134316.69564993316</v>
      </c>
      <c r="T17" s="111">
        <f t="shared" si="3"/>
        <v>154836</v>
      </c>
      <c r="U17" s="19"/>
      <c r="V17" s="73">
        <f t="shared" si="9"/>
        <v>178781.29828576936</v>
      </c>
      <c r="W17" s="73">
        <f t="shared" si="10"/>
        <v>199300.60263583617</v>
      </c>
      <c r="X17" s="73">
        <f t="shared" si="11"/>
        <v>203229.37053762193</v>
      </c>
      <c r="Y17" s="73">
        <f t="shared" si="12"/>
        <v>223748.67488768877</v>
      </c>
      <c r="AA17" s="151">
        <f t="shared" si="4"/>
        <v>71032.779200201592</v>
      </c>
      <c r="AB17" s="151">
        <f t="shared" si="5"/>
        <v>50513.474850134779</v>
      </c>
      <c r="AC17" s="151">
        <f t="shared" si="6"/>
        <v>46584.70694834902</v>
      </c>
      <c r="AD17" s="151">
        <f t="shared" si="7"/>
        <v>26065.402598282177</v>
      </c>
    </row>
    <row r="18" spans="1:30" x14ac:dyDescent="0.25">
      <c r="A18" s="143">
        <v>1998</v>
      </c>
      <c r="B18" s="144">
        <f>'[1]Capped Flow'!W17</f>
        <v>98776.260000000024</v>
      </c>
      <c r="C18" s="144">
        <f>'[1]Upper Platte Gage Data'!I18</f>
        <v>35725.139999999992</v>
      </c>
      <c r="D18" s="144">
        <f t="shared" si="8"/>
        <v>134501.40000000002</v>
      </c>
      <c r="E18" s="145">
        <f>[2]SWCU!M20</f>
        <v>1652.9765069721027</v>
      </c>
      <c r="F18" s="145">
        <f>'[2]Reservoir Evap'!L21+'[2]Reservoir Evap'!M21</f>
        <v>4564.2885282048646</v>
      </c>
      <c r="G18" s="145">
        <f>'[2]GW Depletions'!X25</f>
        <v>20476.26191483012</v>
      </c>
      <c r="I18" s="78">
        <f t="shared" si="0"/>
        <v>161194.92695000712</v>
      </c>
      <c r="J18" s="17"/>
      <c r="K18" s="72">
        <f>[2]SWDemand!R24</f>
        <v>3249.2378100000005</v>
      </c>
      <c r="L18" s="72">
        <f>'[2]M&amp;I COHYST Summary'!D46</f>
        <v>790.1099999999999</v>
      </c>
      <c r="M18" s="72">
        <f>MAX([2]GWCU!E22*0.3,G18)</f>
        <v>43870.079845000015</v>
      </c>
      <c r="N18" s="72">
        <f>IF('[3]DS Demand'!T17&gt;0,'[3]DS Demand'!T17,0)</f>
        <v>266123.7203623809</v>
      </c>
      <c r="O18" s="72">
        <f>MIN(92*3762-'NorthPlatte_IRR Season'!U18,P18)</f>
        <v>135520.60942038338</v>
      </c>
      <c r="P18" s="72">
        <f>'[1]South Platte Roscoe'!E20</f>
        <v>154161.90191483014</v>
      </c>
      <c r="Q18" s="73">
        <f>'[2]Net SW Loss'!Q23</f>
        <v>11304.19000016998</v>
      </c>
      <c r="R18" s="111">
        <f t="shared" si="1"/>
        <v>4564.2885282048646</v>
      </c>
      <c r="S18" s="111">
        <f t="shared" si="2"/>
        <v>266123.7203623809</v>
      </c>
      <c r="T18" s="111">
        <f t="shared" si="3"/>
        <v>266123.7203623809</v>
      </c>
      <c r="U18" s="19"/>
      <c r="V18" s="73">
        <f t="shared" si="9"/>
        <v>306507.80861558585</v>
      </c>
      <c r="W18" s="73">
        <f t="shared" si="10"/>
        <v>306507.80861558585</v>
      </c>
      <c r="X18" s="73">
        <f t="shared" si="11"/>
        <v>329901.62654575572</v>
      </c>
      <c r="Y18" s="73">
        <f t="shared" si="12"/>
        <v>329901.62654575572</v>
      </c>
      <c r="AA18" s="151">
        <f t="shared" si="4"/>
        <v>-145312.88166557872</v>
      </c>
      <c r="AB18" s="151">
        <f t="shared" si="5"/>
        <v>-145312.88166557872</v>
      </c>
      <c r="AC18" s="151">
        <f t="shared" si="6"/>
        <v>-168706.69959574859</v>
      </c>
      <c r="AD18" s="151">
        <f t="shared" si="7"/>
        <v>-168706.69959574859</v>
      </c>
    </row>
    <row r="19" spans="1:30" x14ac:dyDescent="0.25">
      <c r="A19" s="143">
        <v>1999</v>
      </c>
      <c r="B19" s="144">
        <f>'[1]Capped Flow'!W18</f>
        <v>183878.63999999996</v>
      </c>
      <c r="C19" s="144">
        <f>'[1]Upper Platte Gage Data'!I19</f>
        <v>84633.119999999966</v>
      </c>
      <c r="D19" s="144">
        <f t="shared" si="8"/>
        <v>268511.75999999989</v>
      </c>
      <c r="E19" s="145">
        <f>[2]SWCU!M21</f>
        <v>3323.5461285491228</v>
      </c>
      <c r="F19" s="145">
        <f>'[2]Reservoir Evap'!L22+'[2]Reservoir Evap'!M22</f>
        <v>4302.537083204752</v>
      </c>
      <c r="G19" s="145">
        <f>'[2]GW Depletions'!X26</f>
        <v>20632.178629820937</v>
      </c>
      <c r="I19" s="78">
        <f t="shared" si="0"/>
        <v>296770.02184157475</v>
      </c>
      <c r="J19" s="17"/>
      <c r="K19" s="72">
        <f>[2]SWDemand!R25</f>
        <v>5115.0978600000108</v>
      </c>
      <c r="L19" s="72">
        <f>'[2]M&amp;I COHYST Summary'!D47</f>
        <v>791.09999999999991</v>
      </c>
      <c r="M19" s="72">
        <f>MAX([2]GWCU!E23*0.3,G19)</f>
        <v>40308.803640000042</v>
      </c>
      <c r="N19" s="72">
        <f>IF('[3]DS Demand'!T18&gt;0,'[3]DS Demand'!T18,0)</f>
        <v>124455.85159487076</v>
      </c>
      <c r="O19" s="72">
        <f>MIN(92*3762-'NorthPlatte_IRR Season'!U19,P19)</f>
        <v>27324</v>
      </c>
      <c r="P19" s="72">
        <f>'[1]South Platte Roscoe'!E21</f>
        <v>154836</v>
      </c>
      <c r="Q19" s="73">
        <f>'[2]Net SW Loss'!Q24</f>
        <v>11270.020000410008</v>
      </c>
      <c r="R19" s="111">
        <f t="shared" si="1"/>
        <v>4302.537083204752</v>
      </c>
      <c r="S19" s="111">
        <f t="shared" si="2"/>
        <v>124455.85159487076</v>
      </c>
      <c r="T19" s="111">
        <f t="shared" si="3"/>
        <v>154836</v>
      </c>
      <c r="U19" s="19"/>
      <c r="V19" s="73">
        <f t="shared" si="9"/>
        <v>166566.78516830649</v>
      </c>
      <c r="W19" s="73">
        <f t="shared" si="10"/>
        <v>196946.9335734357</v>
      </c>
      <c r="X19" s="73">
        <f t="shared" si="11"/>
        <v>186243.41017848556</v>
      </c>
      <c r="Y19" s="73">
        <f t="shared" si="12"/>
        <v>216623.55858361482</v>
      </c>
      <c r="AA19" s="151">
        <f t="shared" si="4"/>
        <v>130203.23667326826</v>
      </c>
      <c r="AB19" s="151">
        <f t="shared" si="5"/>
        <v>99823.08826813905</v>
      </c>
      <c r="AC19" s="151">
        <f t="shared" si="6"/>
        <v>110526.61166308919</v>
      </c>
      <c r="AD19" s="151">
        <f t="shared" si="7"/>
        <v>80146.463257959927</v>
      </c>
    </row>
    <row r="20" spans="1:30" x14ac:dyDescent="0.25">
      <c r="A20" s="143">
        <v>2000</v>
      </c>
      <c r="B20" s="144">
        <f>'[1]Capped Flow'!W19</f>
        <v>23603.58</v>
      </c>
      <c r="C20" s="144">
        <f>'[1]Upper Platte Gage Data'!I20</f>
        <v>0</v>
      </c>
      <c r="D20" s="144">
        <f t="shared" si="8"/>
        <v>23603.58</v>
      </c>
      <c r="E20" s="145">
        <f>[2]SWCU!M22</f>
        <v>35.713840499393584</v>
      </c>
      <c r="F20" s="145">
        <f>'[2]Reservoir Evap'!L23+'[2]Reservoir Evap'!M23</f>
        <v>5644.8876725439695</v>
      </c>
      <c r="G20" s="145">
        <f>'[2]GW Depletions'!X27</f>
        <v>22830.588366735537</v>
      </c>
      <c r="I20" s="78">
        <f t="shared" si="0"/>
        <v>52114.769879778905</v>
      </c>
      <c r="J20" s="17"/>
      <c r="K20" s="72">
        <f>[2]SWDemand!R26</f>
        <v>2670.4605900000038</v>
      </c>
      <c r="L20" s="72">
        <f>'[2]M&amp;I COHYST Summary'!D48</f>
        <v>806.05</v>
      </c>
      <c r="M20" s="72">
        <f>MAX([2]GWCU!E24*0.3,G20)</f>
        <v>56543.586397500076</v>
      </c>
      <c r="N20" s="72">
        <f>IF('[3]DS Demand'!T19&gt;0,'[3]DS Demand'!T19,0)</f>
        <v>199251.32552705205</v>
      </c>
      <c r="O20" s="72">
        <f>MIN(92*3762-'NorthPlatte_IRR Season'!U20,P20)</f>
        <v>46216.368366735536</v>
      </c>
      <c r="P20" s="72">
        <f>'[1]South Platte Roscoe'!E22</f>
        <v>46216.368366735536</v>
      </c>
      <c r="Q20" s="73">
        <f>'[2]Net SW Loss'!Q25</f>
        <v>5952.3700000200042</v>
      </c>
      <c r="R20" s="111">
        <f t="shared" si="1"/>
        <v>5644.8876725439695</v>
      </c>
      <c r="S20" s="111">
        <f t="shared" si="2"/>
        <v>199251.32552705205</v>
      </c>
      <c r="T20" s="111">
        <f t="shared" si="3"/>
        <v>199251.32552705205</v>
      </c>
      <c r="U20" s="19"/>
      <c r="V20" s="73">
        <f t="shared" si="9"/>
        <v>237155.68215635154</v>
      </c>
      <c r="W20" s="73">
        <f t="shared" si="10"/>
        <v>237155.68215635154</v>
      </c>
      <c r="X20" s="73">
        <f t="shared" si="11"/>
        <v>270868.68018711609</v>
      </c>
      <c r="Y20" s="73">
        <f t="shared" si="12"/>
        <v>270868.68018711609</v>
      </c>
      <c r="AA20" s="151">
        <f t="shared" si="4"/>
        <v>-185040.91227657264</v>
      </c>
      <c r="AB20" s="151">
        <f t="shared" si="5"/>
        <v>-185040.91227657264</v>
      </c>
      <c r="AC20" s="151">
        <f t="shared" si="6"/>
        <v>-218753.91030733718</v>
      </c>
      <c r="AD20" s="151">
        <f t="shared" si="7"/>
        <v>-218753.91030733718</v>
      </c>
    </row>
    <row r="21" spans="1:30" x14ac:dyDescent="0.25">
      <c r="A21" s="143">
        <v>2001</v>
      </c>
      <c r="B21" s="144">
        <f>'[1]Capped Flow'!W20</f>
        <v>38821.860000000008</v>
      </c>
      <c r="C21" s="144">
        <f>'[1]Upper Platte Gage Data'!I21</f>
        <v>0</v>
      </c>
      <c r="D21" s="144">
        <f t="shared" si="8"/>
        <v>38821.860000000008</v>
      </c>
      <c r="E21" s="145">
        <f>[2]SWCU!M23</f>
        <v>841.74653551273593</v>
      </c>
      <c r="F21" s="145">
        <f>'[2]Reservoir Evap'!L24+'[2]Reservoir Evap'!M24</f>
        <v>8181.3474224360589</v>
      </c>
      <c r="G21" s="145">
        <f>'[2]GW Depletions'!X28</f>
        <v>22275.353222451791</v>
      </c>
      <c r="I21" s="78">
        <f t="shared" si="0"/>
        <v>70120.307180400589</v>
      </c>
      <c r="J21" s="17"/>
      <c r="K21" s="72">
        <f>[2]SWDemand!R27</f>
        <v>4221.2651999999953</v>
      </c>
      <c r="L21" s="72">
        <f>'[2]M&amp;I COHYST Summary'!D49</f>
        <v>806.3599999999999</v>
      </c>
      <c r="M21" s="72">
        <f>MAX([2]GWCU!E25*0.3,G21)</f>
        <v>45854.987072500087</v>
      </c>
      <c r="N21" s="72">
        <f>IF('[3]DS Demand'!T20&gt;0,'[3]DS Demand'!T20,0)</f>
        <v>188818.51788372101</v>
      </c>
      <c r="O21" s="72">
        <f>MIN(92*3762-'NorthPlatte_IRR Season'!U21,P21)</f>
        <v>60901.391222451777</v>
      </c>
      <c r="P21" s="72">
        <f>'[1]South Platte Roscoe'!E23</f>
        <v>60901.391222451777</v>
      </c>
      <c r="Q21" s="73">
        <f>'[2]Net SW Loss'!Q26</f>
        <v>9409.4700004199822</v>
      </c>
      <c r="R21" s="111">
        <f t="shared" si="1"/>
        <v>8181.3474224360589</v>
      </c>
      <c r="S21" s="111">
        <f t="shared" si="2"/>
        <v>188818.51788372101</v>
      </c>
      <c r="T21" s="111">
        <f t="shared" si="3"/>
        <v>188818.51788372101</v>
      </c>
      <c r="U21" s="19"/>
      <c r="V21" s="73">
        <f t="shared" si="9"/>
        <v>233712.31372902883</v>
      </c>
      <c r="W21" s="73">
        <f t="shared" si="10"/>
        <v>233712.31372902883</v>
      </c>
      <c r="X21" s="73">
        <f t="shared" si="11"/>
        <v>257291.94757907712</v>
      </c>
      <c r="Y21" s="73">
        <f t="shared" si="12"/>
        <v>257291.94757907712</v>
      </c>
      <c r="AA21" s="151">
        <f t="shared" si="4"/>
        <v>-163592.00654862824</v>
      </c>
      <c r="AB21" s="151">
        <f t="shared" si="5"/>
        <v>-163592.00654862824</v>
      </c>
      <c r="AC21" s="151">
        <f t="shared" si="6"/>
        <v>-187171.64039867654</v>
      </c>
      <c r="AD21" s="151">
        <f t="shared" si="7"/>
        <v>-187171.64039867654</v>
      </c>
    </row>
    <row r="22" spans="1:30" x14ac:dyDescent="0.25">
      <c r="A22" s="143">
        <v>2002</v>
      </c>
      <c r="B22" s="144">
        <f>'[1]Capped Flow'!W21</f>
        <v>27171.540000000008</v>
      </c>
      <c r="C22" s="144">
        <f>'[1]Upper Platte Gage Data'!I22</f>
        <v>164.34</v>
      </c>
      <c r="D22" s="144">
        <f t="shared" si="8"/>
        <v>27335.880000000008</v>
      </c>
      <c r="E22" s="145">
        <f>[2]SWCU!M24</f>
        <v>17.944855507883826</v>
      </c>
      <c r="F22" s="145">
        <f>'[2]Reservoir Evap'!L25+'[2]Reservoir Evap'!M25</f>
        <v>7754.1887756898332</v>
      </c>
      <c r="G22" s="145">
        <f>'[2]GW Depletions'!X29</f>
        <v>25731.523256427914</v>
      </c>
      <c r="I22" s="78">
        <f t="shared" si="0"/>
        <v>60839.53688762564</v>
      </c>
      <c r="J22" s="17"/>
      <c r="K22" s="72">
        <f>[2]SWDemand!R28</f>
        <v>2262.5156699999989</v>
      </c>
      <c r="L22" s="72">
        <f>'[2]M&amp;I COHYST Summary'!D50</f>
        <v>806.45999999999992</v>
      </c>
      <c r="M22" s="72">
        <f>MAX([2]GWCU!E26*0.3,G22)</f>
        <v>70884.096790000025</v>
      </c>
      <c r="N22" s="72">
        <f>IF('[3]DS Demand'!T21&gt;0,'[3]DS Demand'!T21,0)</f>
        <v>597839.69963689672</v>
      </c>
      <c r="O22" s="72">
        <f>MIN(92*3762-'NorthPlatte_IRR Season'!U22,P22)</f>
        <v>53057.305256427921</v>
      </c>
      <c r="P22" s="72">
        <f>'[1]South Platte Roscoe'!E24</f>
        <v>53057.305256427921</v>
      </c>
      <c r="Q22" s="73">
        <f>'[2]Net SW Loss'!Q27</f>
        <v>5645.0199996300098</v>
      </c>
      <c r="R22" s="111">
        <f t="shared" si="1"/>
        <v>7754.1887756898332</v>
      </c>
      <c r="S22" s="111">
        <f t="shared" si="2"/>
        <v>597839.69963689672</v>
      </c>
      <c r="T22" s="111">
        <f t="shared" si="3"/>
        <v>597839.69963689672</v>
      </c>
      <c r="U22" s="19"/>
      <c r="V22" s="73">
        <f t="shared" si="9"/>
        <v>640039.40733864438</v>
      </c>
      <c r="W22" s="73">
        <f t="shared" si="10"/>
        <v>640039.40733864438</v>
      </c>
      <c r="X22" s="73">
        <f t="shared" si="11"/>
        <v>685191.98087221652</v>
      </c>
      <c r="Y22" s="73">
        <f t="shared" si="12"/>
        <v>685191.98087221652</v>
      </c>
      <c r="AA22" s="151">
        <f t="shared" si="4"/>
        <v>-579199.87045101868</v>
      </c>
      <c r="AB22" s="151">
        <f t="shared" si="5"/>
        <v>-579199.87045101868</v>
      </c>
      <c r="AC22" s="151">
        <f t="shared" si="6"/>
        <v>-624352.44398459094</v>
      </c>
      <c r="AD22" s="151">
        <f t="shared" si="7"/>
        <v>-624352.44398459094</v>
      </c>
    </row>
    <row r="23" spans="1:30" x14ac:dyDescent="0.25">
      <c r="A23" s="143">
        <v>2003</v>
      </c>
      <c r="B23" s="144">
        <f>'[1]Capped Flow'!W22</f>
        <v>20821.68</v>
      </c>
      <c r="C23" s="144">
        <f>'[1]Upper Platte Gage Data'!I23</f>
        <v>1498.662</v>
      </c>
      <c r="D23" s="144">
        <f t="shared" si="8"/>
        <v>22320.342000000001</v>
      </c>
      <c r="E23" s="145">
        <f>[2]SWCU!M25</f>
        <v>0</v>
      </c>
      <c r="F23" s="145">
        <f>'[2]Reservoir Evap'!L26+'[2]Reservoir Evap'!M26</f>
        <v>8281.8777469152628</v>
      </c>
      <c r="G23" s="145">
        <f>'[2]GW Depletions'!X30</f>
        <v>26051.264382460973</v>
      </c>
      <c r="I23" s="78">
        <f t="shared" si="0"/>
        <v>56653.484129376237</v>
      </c>
      <c r="J23" s="17"/>
      <c r="K23" s="72">
        <f>[2]SWDemand!R29</f>
        <v>2415.826230000001</v>
      </c>
      <c r="L23" s="72">
        <f>'[2]M&amp;I COHYST Summary'!D51</f>
        <v>852.98</v>
      </c>
      <c r="M23" s="72">
        <f>MAX([2]GWCU!E27*0.3,G23)</f>
        <v>67106.918362499986</v>
      </c>
      <c r="N23" s="72">
        <f>IF('[3]DS Demand'!T22&gt;0,'[3]DS Demand'!T22,0)</f>
        <v>261675.21038189204</v>
      </c>
      <c r="O23" s="72">
        <f>MIN(92*3762-'NorthPlatte_IRR Season'!U23,P23)</f>
        <v>48379.526382460972</v>
      </c>
      <c r="P23" s="72">
        <f>'[1]South Platte Roscoe'!E25</f>
        <v>48379.526382460972</v>
      </c>
      <c r="Q23" s="73">
        <f>'[2]Net SW Loss'!Q28</f>
        <v>5403.9700001099854</v>
      </c>
      <c r="R23" s="111">
        <f t="shared" si="1"/>
        <v>8281.8777469152628</v>
      </c>
      <c r="S23" s="111">
        <f t="shared" si="2"/>
        <v>261675.21038189204</v>
      </c>
      <c r="T23" s="111">
        <f t="shared" si="3"/>
        <v>261675.21038189204</v>
      </c>
      <c r="U23" s="19"/>
      <c r="V23" s="73">
        <f t="shared" si="9"/>
        <v>304681.12874137826</v>
      </c>
      <c r="W23" s="73">
        <f t="shared" si="10"/>
        <v>304681.12874137826</v>
      </c>
      <c r="X23" s="73">
        <f t="shared" si="11"/>
        <v>345736.78272141726</v>
      </c>
      <c r="Y23" s="73">
        <f t="shared" si="12"/>
        <v>345736.78272141726</v>
      </c>
      <c r="AA23" s="151">
        <f t="shared" si="4"/>
        <v>-248027.64461200201</v>
      </c>
      <c r="AB23" s="151">
        <f t="shared" si="5"/>
        <v>-248027.64461200201</v>
      </c>
      <c r="AC23" s="151">
        <f t="shared" si="6"/>
        <v>-289083.29859204101</v>
      </c>
      <c r="AD23" s="151">
        <f t="shared" si="7"/>
        <v>-289083.29859204101</v>
      </c>
    </row>
    <row r="24" spans="1:30" x14ac:dyDescent="0.25">
      <c r="A24" s="143">
        <v>2004</v>
      </c>
      <c r="B24" s="144">
        <f>'[1]Capped Flow'!W23</f>
        <v>23009.579999999998</v>
      </c>
      <c r="C24" s="144">
        <f>'[1]Upper Platte Gage Data'!I24</f>
        <v>0</v>
      </c>
      <c r="D24" s="144">
        <f t="shared" si="8"/>
        <v>23009.579999999998</v>
      </c>
      <c r="E24" s="145">
        <f>[2]SWCU!M26</f>
        <v>0</v>
      </c>
      <c r="F24" s="145">
        <f>'[2]Reservoir Evap'!L27+'[2]Reservoir Evap'!M27</f>
        <v>6480.7229545045238</v>
      </c>
      <c r="G24" s="145">
        <f>'[2]GW Depletions'!X31</f>
        <v>25121.964505280073</v>
      </c>
      <c r="I24" s="78">
        <f t="shared" si="0"/>
        <v>54612.267459784591</v>
      </c>
      <c r="J24" s="17"/>
      <c r="K24" s="72">
        <f>[2]SWDemand!R30</f>
        <v>1657.4465100000002</v>
      </c>
      <c r="L24" s="72">
        <f>'[2]M&amp;I COHYST Summary'!D52</f>
        <v>3059.7000000000007</v>
      </c>
      <c r="M24" s="72">
        <f>MAX([2]GWCU!E28*0.3,G24)</f>
        <v>49454.845402499952</v>
      </c>
      <c r="N24" s="72">
        <f>IF('[3]DS Demand'!T23&gt;0,'[3]DS Demand'!T23,0)</f>
        <v>192923.66534833692</v>
      </c>
      <c r="O24" s="72">
        <f>MIN(92*3762-'NorthPlatte_IRR Season'!U24,P24)</f>
        <v>48121.842505280074</v>
      </c>
      <c r="P24" s="72">
        <f>'[1]South Platte Roscoe'!E26</f>
        <v>48121.842505280074</v>
      </c>
      <c r="Q24" s="73">
        <f>'[2]Net SW Loss'!Q29</f>
        <v>6368.4999996899842</v>
      </c>
      <c r="R24" s="111">
        <f t="shared" si="1"/>
        <v>6480.7229545045238</v>
      </c>
      <c r="S24" s="111">
        <f t="shared" si="2"/>
        <v>192923.66534833692</v>
      </c>
      <c r="T24" s="111">
        <f t="shared" si="3"/>
        <v>192923.66534833692</v>
      </c>
      <c r="U24" s="19"/>
      <c r="V24" s="73">
        <f t="shared" si="9"/>
        <v>235611.99931781148</v>
      </c>
      <c r="W24" s="73">
        <f t="shared" si="10"/>
        <v>235611.99931781148</v>
      </c>
      <c r="X24" s="73">
        <f t="shared" si="11"/>
        <v>259944.88021503139</v>
      </c>
      <c r="Y24" s="73">
        <f t="shared" si="12"/>
        <v>259944.88021503139</v>
      </c>
      <c r="AA24" s="151">
        <f t="shared" si="4"/>
        <v>-180999.73185802688</v>
      </c>
      <c r="AB24" s="151">
        <f t="shared" si="5"/>
        <v>-180999.73185802688</v>
      </c>
      <c r="AC24" s="151">
        <f t="shared" si="6"/>
        <v>-205332.61275524681</v>
      </c>
      <c r="AD24" s="151">
        <f t="shared" si="7"/>
        <v>-205332.61275524681</v>
      </c>
    </row>
    <row r="25" spans="1:30" x14ac:dyDescent="0.25">
      <c r="A25" s="143">
        <v>2005</v>
      </c>
      <c r="B25" s="144">
        <f>'[1]Capped Flow'!W24</f>
        <v>58461.479999999989</v>
      </c>
      <c r="C25" s="144">
        <f>'[1]Upper Platte Gage Data'!I25</f>
        <v>25553.880000000005</v>
      </c>
      <c r="D25" s="144">
        <f t="shared" si="8"/>
        <v>84015.359999999986</v>
      </c>
      <c r="E25" s="145">
        <f>[2]SWCU!M27</f>
        <v>817.62195452365143</v>
      </c>
      <c r="F25" s="145">
        <f>'[2]Reservoir Evap'!L28+'[2]Reservoir Evap'!M28</f>
        <v>6298.7661646178549</v>
      </c>
      <c r="G25" s="145">
        <f>'[2]GW Depletions'!X32</f>
        <v>26012.036929522503</v>
      </c>
      <c r="I25" s="78">
        <f t="shared" si="0"/>
        <v>117143.78504866399</v>
      </c>
      <c r="J25" s="17"/>
      <c r="K25" s="72">
        <f>[2]SWDemand!R31</f>
        <v>2272.6760400000003</v>
      </c>
      <c r="L25" s="72">
        <f>'[2]M&amp;I COHYST Summary'!D53</f>
        <v>3086.0699999999997</v>
      </c>
      <c r="M25" s="72">
        <f>MAX([2]GWCU!E29*0.3,G25)</f>
        <v>59666.888822500114</v>
      </c>
      <c r="N25" s="72">
        <f>IF('[3]DS Demand'!T24&gt;0,'[3]DS Demand'!T24,0)</f>
        <v>208423.41227713952</v>
      </c>
      <c r="O25" s="72">
        <f>MIN(92*3762-'NorthPlatte_IRR Season'!U25,P25)</f>
        <v>110694.65692952255</v>
      </c>
      <c r="P25" s="72">
        <f>'[1]South Platte Roscoe'!E27</f>
        <v>110694.65692952255</v>
      </c>
      <c r="Q25" s="73">
        <f>'[2]Net SW Loss'!Q30</f>
        <v>11183.770000110007</v>
      </c>
      <c r="R25" s="111">
        <f t="shared" si="1"/>
        <v>6298.7661646178549</v>
      </c>
      <c r="S25" s="111">
        <f t="shared" si="2"/>
        <v>208423.41227713952</v>
      </c>
      <c r="T25" s="111">
        <f t="shared" si="3"/>
        <v>208423.41227713952</v>
      </c>
      <c r="U25" s="19"/>
      <c r="V25" s="73">
        <f t="shared" si="9"/>
        <v>257276.73141138989</v>
      </c>
      <c r="W25" s="73">
        <f t="shared" si="10"/>
        <v>257276.73141138989</v>
      </c>
      <c r="X25" s="73">
        <f t="shared" si="11"/>
        <v>290931.58330436749</v>
      </c>
      <c r="Y25" s="73">
        <f t="shared" si="12"/>
        <v>290931.58330436749</v>
      </c>
      <c r="AA25" s="151">
        <f t="shared" si="4"/>
        <v>-140132.9463627259</v>
      </c>
      <c r="AB25" s="151">
        <f t="shared" si="5"/>
        <v>-140132.9463627259</v>
      </c>
      <c r="AC25" s="151">
        <f t="shared" si="6"/>
        <v>-173787.7982557035</v>
      </c>
      <c r="AD25" s="151">
        <f t="shared" si="7"/>
        <v>-173787.7982557035</v>
      </c>
    </row>
    <row r="26" spans="1:30" x14ac:dyDescent="0.25">
      <c r="A26" s="143">
        <v>2006</v>
      </c>
      <c r="B26" s="144">
        <f>'[1]Capped Flow'!W25</f>
        <v>20778.120000000006</v>
      </c>
      <c r="C26" s="144">
        <f>'[1]Upper Platte Gage Data'!I26</f>
        <v>0</v>
      </c>
      <c r="D26" s="144">
        <f t="shared" si="8"/>
        <v>20778.120000000006</v>
      </c>
      <c r="E26" s="145">
        <f>[2]SWCU!M28</f>
        <v>0</v>
      </c>
      <c r="F26" s="145">
        <f>'[2]Reservoir Evap'!L29+'[2]Reservoir Evap'!M29</f>
        <v>6643.8651800916305</v>
      </c>
      <c r="G26" s="145">
        <f>'[2]GW Depletions'!X33</f>
        <v>25881.356155876951</v>
      </c>
      <c r="I26" s="78">
        <f t="shared" si="0"/>
        <v>53303.341335968587</v>
      </c>
      <c r="J26" s="17"/>
      <c r="K26" s="72">
        <f>[2]SWDemand!R32</f>
        <v>1886.2927500000008</v>
      </c>
      <c r="L26" s="72">
        <f>'[2]M&amp;I COHYST Summary'!D54</f>
        <v>3086.0699999999997</v>
      </c>
      <c r="M26" s="72">
        <f>MAX([2]GWCU!E30*0.3,G26)</f>
        <v>55235.629699999925</v>
      </c>
      <c r="N26" s="72">
        <f>IF('[3]DS Demand'!T25&gt;0,'[3]DS Demand'!T25,0)</f>
        <v>315872.48056412779</v>
      </c>
      <c r="O26" s="72">
        <f>MIN(92*3762-'NorthPlatte_IRR Season'!U26,P26)</f>
        <v>46631.756155876952</v>
      </c>
      <c r="P26" s="72">
        <f>'[1]South Platte Roscoe'!E28</f>
        <v>46631.756155876952</v>
      </c>
      <c r="Q26" s="73">
        <f>'[2]Net SW Loss'!Q31</f>
        <v>6057.4799995799922</v>
      </c>
      <c r="R26" s="111">
        <f t="shared" si="1"/>
        <v>6643.8651800916305</v>
      </c>
      <c r="S26" s="111">
        <f t="shared" si="2"/>
        <v>315872.48056412779</v>
      </c>
      <c r="T26" s="111">
        <f t="shared" si="3"/>
        <v>315872.48056412779</v>
      </c>
      <c r="U26" s="19"/>
      <c r="V26" s="73">
        <f t="shared" si="9"/>
        <v>359427.54464967636</v>
      </c>
      <c r="W26" s="73">
        <f t="shared" si="10"/>
        <v>359427.54464967636</v>
      </c>
      <c r="X26" s="73">
        <f t="shared" si="11"/>
        <v>388781.81819379935</v>
      </c>
      <c r="Y26" s="73">
        <f t="shared" si="12"/>
        <v>388781.81819379935</v>
      </c>
      <c r="AA26" s="151">
        <f t="shared" si="4"/>
        <v>-306124.20331370778</v>
      </c>
      <c r="AB26" s="151">
        <f t="shared" si="5"/>
        <v>-306124.20331370778</v>
      </c>
      <c r="AC26" s="151">
        <f t="shared" si="6"/>
        <v>-335478.47685783077</v>
      </c>
      <c r="AD26" s="151">
        <f t="shared" si="7"/>
        <v>-335478.47685783077</v>
      </c>
    </row>
    <row r="27" spans="1:30" x14ac:dyDescent="0.25">
      <c r="A27" s="143">
        <v>2007</v>
      </c>
      <c r="B27" s="144">
        <f>'[1]Capped Flow'!W26</f>
        <v>53262</v>
      </c>
      <c r="C27" s="144">
        <f>'[1]Upper Platte Gage Data'!I27</f>
        <v>32675.94</v>
      </c>
      <c r="D27" s="144">
        <f t="shared" si="8"/>
        <v>85937.94</v>
      </c>
      <c r="E27" s="145">
        <f>[2]SWCU!M29</f>
        <v>272.29605000000004</v>
      </c>
      <c r="F27" s="145">
        <f>'[2]Reservoir Evap'!L30+'[2]Reservoir Evap'!M30</f>
        <v>6096.4951513824271</v>
      </c>
      <c r="G27" s="145">
        <f>'[2]GW Depletions'!X34</f>
        <v>24072.430445362716</v>
      </c>
      <c r="I27" s="78">
        <f t="shared" si="0"/>
        <v>116379.16164674515</v>
      </c>
      <c r="J27" s="17"/>
      <c r="K27" s="72">
        <f>[2]SWDemand!R33</f>
        <v>1247.3743499999994</v>
      </c>
      <c r="L27" s="72">
        <f>'[2]M&amp;I COHYST Summary'!D55</f>
        <v>3086.0699999999997</v>
      </c>
      <c r="M27" s="72">
        <f>MAX([2]GWCU!E31*0.3,G27)</f>
        <v>37345.749749999886</v>
      </c>
      <c r="N27" s="72">
        <f>IF('[3]DS Demand'!T26&gt;0,'[3]DS Demand'!T26,0)</f>
        <v>125334.30342463854</v>
      </c>
      <c r="O27" s="72">
        <f>MIN(92*3762-'NorthPlatte_IRR Season'!U27,P27)</f>
        <v>108406.57044536273</v>
      </c>
      <c r="P27" s="72">
        <f>'[1]South Platte Roscoe'!E29</f>
        <v>108406.57044536273</v>
      </c>
      <c r="Q27" s="73">
        <f>'[2]Net SW Loss'!Q32</f>
        <v>9978.3399999300073</v>
      </c>
      <c r="R27" s="111">
        <f t="shared" si="1"/>
        <v>6096.4951513824271</v>
      </c>
      <c r="S27" s="111">
        <f t="shared" si="2"/>
        <v>125334.30342463854</v>
      </c>
      <c r="T27" s="111">
        <f t="shared" si="3"/>
        <v>125334.30342463854</v>
      </c>
      <c r="U27" s="19"/>
      <c r="V27" s="73">
        <f t="shared" si="9"/>
        <v>169815.01337131369</v>
      </c>
      <c r="W27" s="73">
        <f t="shared" si="10"/>
        <v>169815.01337131369</v>
      </c>
      <c r="X27" s="73">
        <f t="shared" si="11"/>
        <v>183088.33267595086</v>
      </c>
      <c r="Y27" s="73">
        <f t="shared" si="12"/>
        <v>183088.33267595086</v>
      </c>
      <c r="AA27" s="151">
        <f t="shared" si="4"/>
        <v>-53435.851724568536</v>
      </c>
      <c r="AB27" s="151">
        <f t="shared" si="5"/>
        <v>-53435.851724568536</v>
      </c>
      <c r="AC27" s="151">
        <f t="shared" si="6"/>
        <v>-66709.171029205711</v>
      </c>
      <c r="AD27" s="151">
        <f t="shared" si="7"/>
        <v>-66709.171029205711</v>
      </c>
    </row>
    <row r="28" spans="1:30" x14ac:dyDescent="0.25">
      <c r="A28" s="143">
        <v>2008</v>
      </c>
      <c r="B28" s="144">
        <f>'[1]Capped Flow'!W27</f>
        <v>28399.139999999996</v>
      </c>
      <c r="C28" s="144">
        <f>'[1]Upper Platte Gage Data'!I28</f>
        <v>2120.5800000000004</v>
      </c>
      <c r="D28" s="144">
        <f t="shared" si="8"/>
        <v>30519.719999999998</v>
      </c>
      <c r="E28" s="145">
        <f>[2]SWCU!M30</f>
        <v>223.78005000000002</v>
      </c>
      <c r="F28" s="145">
        <f>'[2]Reservoir Evap'!L31+'[2]Reservoir Evap'!M31</f>
        <v>7150.2611062408432</v>
      </c>
      <c r="G28" s="145">
        <f>'[2]GW Depletions'!X35</f>
        <v>23648.433204775021</v>
      </c>
      <c r="I28" s="78">
        <f t="shared" si="0"/>
        <v>61542.194361015863</v>
      </c>
      <c r="J28" s="17"/>
      <c r="K28" s="72">
        <f>[2]SWDemand!R34</f>
        <v>2117.9006700000018</v>
      </c>
      <c r="L28" s="72">
        <f>'[2]M&amp;I COHYST Summary'!D56</f>
        <v>3086.0699999999997</v>
      </c>
      <c r="M28" s="72">
        <f>MAX([2]GWCU!E32*0.3,G28)</f>
        <v>70905.336162499851</v>
      </c>
      <c r="N28" s="72">
        <f>IF('[3]DS Demand'!T27&gt;0,'[3]DS Demand'!T27,0)</f>
        <v>65068.923021570372</v>
      </c>
      <c r="O28" s="72">
        <f>MIN(92*3762-'NorthPlatte_IRR Season'!U28,P28)</f>
        <v>53581.083204775023</v>
      </c>
      <c r="P28" s="72">
        <f>'[1]South Platte Roscoe'!E30</f>
        <v>53581.083204775023</v>
      </c>
      <c r="Q28" s="73">
        <f>'[2]Net SW Loss'!Q33</f>
        <v>8817.6699998700169</v>
      </c>
      <c r="R28" s="111">
        <f t="shared" si="1"/>
        <v>7150.2611062408432</v>
      </c>
      <c r="S28" s="111">
        <f t="shared" si="2"/>
        <v>65068.923021570372</v>
      </c>
      <c r="T28" s="111">
        <f t="shared" si="3"/>
        <v>65068.923021570372</v>
      </c>
      <c r="U28" s="19"/>
      <c r="V28" s="73">
        <f t="shared" si="9"/>
        <v>109889.25800245625</v>
      </c>
      <c r="W28" s="73">
        <f t="shared" si="10"/>
        <v>109889.25800245625</v>
      </c>
      <c r="X28" s="73">
        <f t="shared" si="11"/>
        <v>157146.16096018109</v>
      </c>
      <c r="Y28" s="73">
        <f t="shared" si="12"/>
        <v>157146.16096018109</v>
      </c>
      <c r="AA28" s="151">
        <f t="shared" si="4"/>
        <v>-48347.063641440385</v>
      </c>
      <c r="AB28" s="151">
        <f t="shared" si="5"/>
        <v>-48347.063641440385</v>
      </c>
      <c r="AC28" s="151">
        <f t="shared" si="6"/>
        <v>-95603.966599165229</v>
      </c>
      <c r="AD28" s="151">
        <f t="shared" si="7"/>
        <v>-95603.966599165229</v>
      </c>
    </row>
    <row r="29" spans="1:30" x14ac:dyDescent="0.25">
      <c r="A29" s="143">
        <v>2009</v>
      </c>
      <c r="B29" s="144">
        <f>'[1]Capped Flow'!W28</f>
        <v>113378.76000000001</v>
      </c>
      <c r="C29" s="144">
        <f>'[1]Upper Platte Gage Data'!I29</f>
        <v>88426.206000000006</v>
      </c>
      <c r="D29" s="144">
        <f t="shared" si="8"/>
        <v>201804.96600000001</v>
      </c>
      <c r="E29" s="145">
        <f>[2]SWCU!M31</f>
        <v>878.13960000000009</v>
      </c>
      <c r="F29" s="145">
        <f>'[2]Reservoir Evap'!L32+'[2]Reservoir Evap'!M32</f>
        <v>6012.7558583835998</v>
      </c>
      <c r="G29" s="145">
        <f>'[2]GW Depletions'!X36</f>
        <v>22932.223092286502</v>
      </c>
      <c r="I29" s="78">
        <f t="shared" si="0"/>
        <v>231628.08455067012</v>
      </c>
      <c r="J29" s="17"/>
      <c r="K29" s="72">
        <f>[2]SWDemand!R35</f>
        <v>1867.1102700000013</v>
      </c>
      <c r="L29" s="72">
        <f>'[2]M&amp;I COHYST Summary'!D57</f>
        <v>3086.0699999999997</v>
      </c>
      <c r="M29" s="72">
        <f>MAX([2]GWCU!E33*0.3,G29)</f>
        <v>66348.633049752534</v>
      </c>
      <c r="N29" s="72">
        <f>IF('[3]DS Demand'!T28&gt;0,'[3]DS Demand'!T28,0)</f>
        <v>149261.64922558767</v>
      </c>
      <c r="O29" s="72">
        <f>MIN(92*3762-'NorthPlatte_IRR Season'!U29,P29)</f>
        <v>130987.69880224514</v>
      </c>
      <c r="P29" s="72">
        <f>'[1]South Platte Roscoe'!E31</f>
        <v>154836</v>
      </c>
      <c r="Q29" s="73">
        <f>'[2]Net SW Loss'!Q34</f>
        <v>11319.739999740006</v>
      </c>
      <c r="R29" s="111">
        <f t="shared" si="1"/>
        <v>6012.7558583835998</v>
      </c>
      <c r="S29" s="111">
        <f t="shared" si="2"/>
        <v>149261.64922558767</v>
      </c>
      <c r="T29" s="111">
        <f t="shared" si="3"/>
        <v>154836</v>
      </c>
      <c r="U29" s="19"/>
      <c r="V29" s="73">
        <f t="shared" si="9"/>
        <v>194479.54844599779</v>
      </c>
      <c r="W29" s="73">
        <f t="shared" si="10"/>
        <v>200053.89922041012</v>
      </c>
      <c r="X29" s="73">
        <f t="shared" si="11"/>
        <v>237895.95840346382</v>
      </c>
      <c r="Y29" s="73">
        <f t="shared" si="12"/>
        <v>243470.30917787616</v>
      </c>
      <c r="AA29" s="151">
        <f t="shared" si="4"/>
        <v>37148.536104672326</v>
      </c>
      <c r="AB29" s="151">
        <f t="shared" si="5"/>
        <v>31574.185330259992</v>
      </c>
      <c r="AC29" s="151">
        <f t="shared" si="6"/>
        <v>-6267.8738527937094</v>
      </c>
      <c r="AD29" s="151">
        <f t="shared" si="7"/>
        <v>-11842.224627206044</v>
      </c>
    </row>
    <row r="30" spans="1:30" x14ac:dyDescent="0.25">
      <c r="A30" s="143">
        <v>2010</v>
      </c>
      <c r="B30" s="144">
        <f>'[1]Capped Flow'!W29</f>
        <v>133026.29999999999</v>
      </c>
      <c r="C30" s="144">
        <f>'[1]Upper Platte Gage Data'!I30</f>
        <v>79374.04200000003</v>
      </c>
      <c r="D30" s="144">
        <f t="shared" si="8"/>
        <v>212400.342</v>
      </c>
      <c r="E30" s="145">
        <f>[2]SWCU!M32</f>
        <v>1183.7904000000001</v>
      </c>
      <c r="F30" s="145">
        <f>'[2]Reservoir Evap'!L33+'[2]Reservoir Evap'!M33</f>
        <v>4797.7429173410164</v>
      </c>
      <c r="G30" s="145">
        <f>'[2]GW Depletions'!X37</f>
        <v>23074.42682805326</v>
      </c>
      <c r="I30" s="78">
        <f t="shared" si="0"/>
        <v>241456.30214539426</v>
      </c>
      <c r="J30" s="17"/>
      <c r="K30" s="72">
        <f>[2]SWDemand!R36</f>
        <v>2440.2521699999993</v>
      </c>
      <c r="L30" s="72">
        <f>'[2]M&amp;I COHYST Summary'!D58</f>
        <v>3086.0699999999997</v>
      </c>
      <c r="M30" s="72">
        <f>MAX([2]GWCU!E34*0.3,G30)</f>
        <v>79238.130472557794</v>
      </c>
      <c r="N30" s="72">
        <f>IF('[3]DS Demand'!T29&gt;0,'[3]DS Demand'!T29,0)</f>
        <v>58168.598145801778</v>
      </c>
      <c r="O30" s="72">
        <f>MIN(92*3762-'NorthPlatte_IRR Season'!U30,P30)</f>
        <v>27324</v>
      </c>
      <c r="P30" s="72">
        <f>'[1]South Platte Roscoe'!E32</f>
        <v>154836</v>
      </c>
      <c r="Q30" s="73">
        <f>'[2]Net SW Loss'!Q35</f>
        <v>11307.120000239998</v>
      </c>
      <c r="R30" s="111">
        <f t="shared" si="1"/>
        <v>4797.7429173410164</v>
      </c>
      <c r="S30" s="111">
        <f t="shared" si="2"/>
        <v>58168.598145801778</v>
      </c>
      <c r="T30" s="111">
        <f t="shared" si="3"/>
        <v>154836</v>
      </c>
      <c r="U30" s="19"/>
      <c r="V30" s="73">
        <f t="shared" si="9"/>
        <v>102874.21006143605</v>
      </c>
      <c r="W30" s="73">
        <f t="shared" si="10"/>
        <v>199541.61191563428</v>
      </c>
      <c r="X30" s="73">
        <f t="shared" si="11"/>
        <v>159037.91370594059</v>
      </c>
      <c r="Y30" s="73">
        <f t="shared" si="12"/>
        <v>255705.31556013878</v>
      </c>
      <c r="AA30" s="151">
        <f t="shared" si="4"/>
        <v>138582.09208395821</v>
      </c>
      <c r="AB30" s="151">
        <f t="shared" si="5"/>
        <v>41914.690229759988</v>
      </c>
      <c r="AC30" s="151">
        <f t="shared" si="6"/>
        <v>82418.388439453673</v>
      </c>
      <c r="AD30" s="151">
        <f t="shared" si="7"/>
        <v>-14249.013414744521</v>
      </c>
    </row>
    <row r="31" spans="1:30" x14ac:dyDescent="0.25">
      <c r="A31" s="143">
        <v>2011</v>
      </c>
      <c r="B31" s="144">
        <f>'[1]Capped Flow'!W30</f>
        <v>150418.61999999994</v>
      </c>
      <c r="C31" s="144">
        <f>'[1]Upper Platte Gage Data'!I31</f>
        <v>23804.411400000008</v>
      </c>
      <c r="D31" s="144">
        <f t="shared" si="8"/>
        <v>174223.03139999995</v>
      </c>
      <c r="E31" s="145">
        <f>[2]SWCU!M33</f>
        <v>965.46839999999997</v>
      </c>
      <c r="F31" s="145">
        <f>'[2]Reservoir Evap'!L34+'[2]Reservoir Evap'!M34</f>
        <v>4862.2620681819599</v>
      </c>
      <c r="G31" s="145">
        <f>'[2]GW Depletions'!X38</f>
        <v>23013.79923794766</v>
      </c>
      <c r="I31" s="78">
        <f t="shared" si="0"/>
        <v>203064.56110612958</v>
      </c>
      <c r="J31" s="17"/>
      <c r="K31" s="72">
        <f>[2]SWDemand!R37</f>
        <v>2052.8799000000004</v>
      </c>
      <c r="L31" s="72">
        <f>'[2]M&amp;I COHYST Summary'!D59</f>
        <v>3086.0699999999997</v>
      </c>
      <c r="M31" s="72">
        <f>MAX([2]GWCU!E35*0.3,G31)</f>
        <v>63757.145057841582</v>
      </c>
      <c r="N31" s="72">
        <f>IF('[3]DS Demand'!T30&gt;0,'[3]DS Demand'!T30,0)</f>
        <v>75812.623973449692</v>
      </c>
      <c r="O31" s="72">
        <f>MIN(92*3762-'NorthPlatte_IRR Season'!U31,P31)</f>
        <v>27324</v>
      </c>
      <c r="P31" s="72">
        <f>'[1]South Platte Roscoe'!E33</f>
        <v>154836</v>
      </c>
      <c r="Q31" s="73">
        <f>'[2]Net SW Loss'!Q36</f>
        <v>11311.139999910039</v>
      </c>
      <c r="R31" s="111">
        <f t="shared" si="1"/>
        <v>4862.2620681819599</v>
      </c>
      <c r="S31" s="111">
        <f t="shared" si="2"/>
        <v>75812.623973449692</v>
      </c>
      <c r="T31" s="111">
        <f t="shared" si="3"/>
        <v>154836</v>
      </c>
      <c r="U31" s="19"/>
      <c r="V31" s="73">
        <f t="shared" si="9"/>
        <v>120138.77517948934</v>
      </c>
      <c r="W31" s="73">
        <f t="shared" si="10"/>
        <v>199162.15120603968</v>
      </c>
      <c r="X31" s="73">
        <f t="shared" si="11"/>
        <v>160882.1209993833</v>
      </c>
      <c r="Y31" s="73">
        <f t="shared" si="12"/>
        <v>239905.49702593361</v>
      </c>
      <c r="AA31" s="151">
        <f t="shared" si="4"/>
        <v>82925.785926640237</v>
      </c>
      <c r="AB31" s="151">
        <f t="shared" si="5"/>
        <v>3902.4099000899005</v>
      </c>
      <c r="AC31" s="151">
        <f t="shared" si="6"/>
        <v>42182.440106746275</v>
      </c>
      <c r="AD31" s="151">
        <f t="shared" si="7"/>
        <v>-36840.935919804033</v>
      </c>
    </row>
    <row r="32" spans="1:30" x14ac:dyDescent="0.25">
      <c r="A32" s="143">
        <v>2012</v>
      </c>
      <c r="B32" s="144">
        <f>'[1]Capped Flow'!W31</f>
        <v>21247.38</v>
      </c>
      <c r="C32" s="144">
        <f>'[1]Upper Platte Gage Data'!I32</f>
        <v>385.56540000000001</v>
      </c>
      <c r="D32" s="144">
        <f t="shared" si="8"/>
        <v>21632.945400000001</v>
      </c>
      <c r="E32" s="145">
        <f>[2]SWCU!M34</f>
        <v>12.129000000000001</v>
      </c>
      <c r="F32" s="145">
        <f>'[2]Reservoir Evap'!L35+'[2]Reservoir Evap'!M35</f>
        <v>7606.1670026909451</v>
      </c>
      <c r="G32" s="145">
        <f>'[2]GW Depletions'!X39</f>
        <v>28327.944741735537</v>
      </c>
      <c r="I32" s="78">
        <f t="shared" si="0"/>
        <v>57579.18614442648</v>
      </c>
      <c r="J32" s="17"/>
      <c r="K32" s="72">
        <f>[2]SWDemand!R38</f>
        <v>2044.2589800000001</v>
      </c>
      <c r="L32" s="72">
        <f>'[2]M&amp;I COHYST Summary'!D60</f>
        <v>3086.0699999999997</v>
      </c>
      <c r="M32" s="72">
        <f>MAX([2]GWCU!E36*0.3,G32)</f>
        <v>68277.368122500149</v>
      </c>
      <c r="N32" s="72">
        <f>IF('[3]DS Demand'!T31&gt;0,'[3]DS Demand'!T31,0)</f>
        <v>49844.664141735535</v>
      </c>
      <c r="O32" s="72">
        <f>MIN(92*3762-'NorthPlatte_IRR Season'!U32,P32)</f>
        <v>49844.664141735535</v>
      </c>
      <c r="P32" s="72">
        <f>'[1]South Platte Roscoe'!E34</f>
        <v>49844.664141735535</v>
      </c>
      <c r="Q32" s="73">
        <f>'[2]Net SW Loss'!Q37</f>
        <v>8975.0199995399671</v>
      </c>
      <c r="R32" s="148">
        <f t="shared" si="1"/>
        <v>7606.1670026909451</v>
      </c>
      <c r="S32" s="148">
        <f t="shared" si="2"/>
        <v>49844.664141735535</v>
      </c>
      <c r="T32" s="148">
        <f t="shared" si="3"/>
        <v>49844.664141735535</v>
      </c>
      <c r="U32" s="19"/>
      <c r="V32" s="73">
        <f t="shared" si="9"/>
        <v>99884.124865701975</v>
      </c>
      <c r="W32" s="73">
        <f t="shared" si="10"/>
        <v>99884.124865701975</v>
      </c>
      <c r="X32" s="73">
        <f t="shared" si="11"/>
        <v>139833.54824646661</v>
      </c>
      <c r="Y32" s="73">
        <f t="shared" si="12"/>
        <v>139833.54824646661</v>
      </c>
      <c r="AA32" s="151">
        <f t="shared" si="4"/>
        <v>-42304.938721275495</v>
      </c>
      <c r="AB32" s="151">
        <f t="shared" si="5"/>
        <v>-42304.938721275495</v>
      </c>
      <c r="AC32" s="151">
        <f t="shared" si="6"/>
        <v>-82254.362102040133</v>
      </c>
      <c r="AD32" s="151">
        <f t="shared" si="7"/>
        <v>-82254.362102040133</v>
      </c>
    </row>
    <row r="33" spans="1:30" x14ac:dyDescent="0.25">
      <c r="I33"/>
      <c r="N33" s="160"/>
      <c r="O33" s="160"/>
      <c r="P33" s="160"/>
      <c r="Q33" s="160"/>
      <c r="R33" s="160"/>
      <c r="S33" s="160"/>
      <c r="T33" s="160"/>
      <c r="V33" s="88"/>
      <c r="X33" s="88"/>
      <c r="AA33" s="110"/>
      <c r="AC33" s="110"/>
    </row>
    <row r="34" spans="1:30" x14ac:dyDescent="0.25">
      <c r="G34"/>
      <c r="I34"/>
      <c r="N34" s="160"/>
      <c r="O34" s="160"/>
      <c r="P34" s="160"/>
      <c r="Q34" s="160"/>
      <c r="R34" s="160"/>
      <c r="S34" s="160"/>
      <c r="T34" s="160"/>
      <c r="V34" s="88"/>
      <c r="X34" s="88"/>
      <c r="AA34" s="110"/>
      <c r="AC34" s="110"/>
    </row>
    <row r="35" spans="1:30" x14ac:dyDescent="0.25">
      <c r="A35" t="s">
        <v>9</v>
      </c>
      <c r="B35" s="16">
        <f t="shared" ref="B35:AD35" si="13">AVERAGE(B8:B32)</f>
        <v>67148.769599999985</v>
      </c>
      <c r="C35" s="16">
        <f t="shared" si="13"/>
        <v>29176.769952000002</v>
      </c>
      <c r="D35" s="16">
        <f t="shared" si="13"/>
        <v>96325.539552000002</v>
      </c>
      <c r="E35" s="16">
        <f t="shared" si="13"/>
        <v>961.3438122672294</v>
      </c>
      <c r="F35" s="16">
        <f t="shared" si="13"/>
        <v>6344.9287396554801</v>
      </c>
      <c r="G35" s="16">
        <f>AVERAGE(G8:G32)</f>
        <v>22392.234520422408</v>
      </c>
      <c r="H35" s="16"/>
      <c r="I35" s="16">
        <f>AVERAGE(I8:I32)</f>
        <v>126024.04662434511</v>
      </c>
      <c r="J35" s="16"/>
      <c r="K35" s="16">
        <f t="shared" si="13"/>
        <v>2981.9527164000001</v>
      </c>
      <c r="L35" s="16">
        <f t="shared" si="13"/>
        <v>1666.4739999999999</v>
      </c>
      <c r="M35" s="16">
        <f t="shared" si="13"/>
        <v>51966.341493806074</v>
      </c>
      <c r="N35" s="15">
        <f t="shared" si="13"/>
        <v>185747.99721586186</v>
      </c>
      <c r="O35" s="15">
        <f>AVERAGE(O8:O32)</f>
        <v>63527.528702573647</v>
      </c>
      <c r="P35" s="15">
        <f t="shared" si="13"/>
        <v>94170.441419719922</v>
      </c>
      <c r="Q35" s="15">
        <f t="shared" si="13"/>
        <v>9290.0679998856049</v>
      </c>
      <c r="R35" s="15">
        <f t="shared" si="13"/>
        <v>6344.9287396554801</v>
      </c>
      <c r="S35" s="15">
        <f>AVERAGE(S8:S32)</f>
        <v>185747.99721586186</v>
      </c>
      <c r="T35" s="15">
        <f t="shared" si="13"/>
        <v>195490.41160987824</v>
      </c>
      <c r="U35" s="16"/>
      <c r="V35" s="16">
        <f>AVERAGE(V8:V32)</f>
        <v>228423.65519222536</v>
      </c>
      <c r="W35" s="16">
        <f t="shared" si="13"/>
        <v>238166.06958624173</v>
      </c>
      <c r="X35" s="16">
        <f>AVERAGE(X8:X32)</f>
        <v>257997.76216560893</v>
      </c>
      <c r="Y35" s="16">
        <f t="shared" si="13"/>
        <v>267740.17655962537</v>
      </c>
      <c r="Z35" s="16"/>
      <c r="AA35" s="16">
        <f>AVERAGE(AA8:AA32)</f>
        <v>-102399.60856788022</v>
      </c>
      <c r="AB35" s="16">
        <f t="shared" si="13"/>
        <v>-112142.0229618966</v>
      </c>
      <c r="AC35" s="16">
        <f>AVERAGE(AC8:AC32)</f>
        <v>-131973.71554126393</v>
      </c>
      <c r="AD35" s="16">
        <f t="shared" si="13"/>
        <v>-141716.1299352803</v>
      </c>
    </row>
    <row r="36" spans="1:30" x14ac:dyDescent="0.25">
      <c r="A36"/>
      <c r="B36"/>
      <c r="C36"/>
      <c r="D36"/>
      <c r="E36" s="49"/>
      <c r="F36"/>
      <c r="G36"/>
      <c r="H36" s="1"/>
      <c r="I36" s="1"/>
      <c r="X36" s="16"/>
      <c r="AC36" s="16"/>
    </row>
    <row r="37" spans="1:30" x14ac:dyDescent="0.25">
      <c r="A37"/>
      <c r="B37"/>
      <c r="C37"/>
      <c r="D37"/>
      <c r="E37" s="49"/>
      <c r="F37"/>
      <c r="G37"/>
      <c r="H37" s="16"/>
      <c r="I37" s="1"/>
      <c r="N37" s="28"/>
    </row>
    <row r="38" spans="1:30" x14ac:dyDescent="0.25">
      <c r="A38" t="s">
        <v>10</v>
      </c>
      <c r="D38" t="s">
        <v>70</v>
      </c>
      <c r="E38" s="16"/>
      <c r="G38" s="114" t="s">
        <v>72</v>
      </c>
      <c r="K38" s="16" t="s">
        <v>135</v>
      </c>
      <c r="L38" s="161" t="s">
        <v>136</v>
      </c>
      <c r="N38" s="28">
        <f>N35/X35</f>
        <v>0.71995972235073147</v>
      </c>
    </row>
    <row r="39" spans="1:30" x14ac:dyDescent="0.25">
      <c r="A39" s="26" t="s">
        <v>2</v>
      </c>
      <c r="B39" s="72">
        <f>D35</f>
        <v>96325.539552000002</v>
      </c>
      <c r="D39" s="103" t="s">
        <v>11</v>
      </c>
      <c r="E39" s="39">
        <f>G35</f>
        <v>22392.234520422408</v>
      </c>
      <c r="G39" s="103" t="s">
        <v>12</v>
      </c>
      <c r="H39" s="39">
        <f>M35</f>
        <v>51966.341493806074</v>
      </c>
      <c r="K39" s="161" t="s">
        <v>137</v>
      </c>
      <c r="L39" s="161" t="s">
        <v>138</v>
      </c>
    </row>
    <row r="40" spans="1:30" x14ac:dyDescent="0.25">
      <c r="A40" s="26" t="s">
        <v>11</v>
      </c>
      <c r="B40" s="72">
        <f>G35</f>
        <v>22392.234520422408</v>
      </c>
      <c r="D40" s="103" t="s">
        <v>13</v>
      </c>
      <c r="E40" s="39">
        <f>K35</f>
        <v>2981.9527164000001</v>
      </c>
      <c r="G40" s="103" t="s">
        <v>13</v>
      </c>
      <c r="H40" s="39">
        <f>E40</f>
        <v>2981.9527164000001</v>
      </c>
      <c r="K40" s="161" t="s">
        <v>139</v>
      </c>
      <c r="L40" s="161" t="s">
        <v>140</v>
      </c>
    </row>
    <row r="41" spans="1:30" x14ac:dyDescent="0.25">
      <c r="A41" s="26" t="s">
        <v>3</v>
      </c>
      <c r="B41" s="72">
        <f>E35</f>
        <v>961.3438122672294</v>
      </c>
      <c r="D41" s="71" t="s">
        <v>95</v>
      </c>
      <c r="E41" s="72">
        <f>L35</f>
        <v>1666.4739999999999</v>
      </c>
      <c r="G41" s="71" t="s">
        <v>95</v>
      </c>
      <c r="H41" s="72">
        <f>E41</f>
        <v>1666.4739999999999</v>
      </c>
      <c r="K41" s="161" t="s">
        <v>141</v>
      </c>
      <c r="L41" s="161" t="s">
        <v>142</v>
      </c>
    </row>
    <row r="42" spans="1:30" x14ac:dyDescent="0.25">
      <c r="A42" s="26" t="s">
        <v>20</v>
      </c>
      <c r="B42" s="72">
        <f>F35</f>
        <v>6344.9287396554801</v>
      </c>
      <c r="D42" s="71" t="s">
        <v>20</v>
      </c>
      <c r="E42" s="72">
        <f>R35</f>
        <v>6344.9287396554801</v>
      </c>
      <c r="G42" s="71" t="s">
        <v>20</v>
      </c>
      <c r="H42" s="72">
        <f>E42</f>
        <v>6344.9287396554801</v>
      </c>
      <c r="K42" s="161" t="s">
        <v>143</v>
      </c>
      <c r="L42" s="161" t="s">
        <v>144</v>
      </c>
    </row>
    <row r="43" spans="1:30" x14ac:dyDescent="0.25">
      <c r="A43" s="71" t="s">
        <v>22</v>
      </c>
      <c r="B43" s="39">
        <f>SUM(B39:B42)</f>
        <v>126024.04662434512</v>
      </c>
      <c r="D43" s="103" t="s">
        <v>5</v>
      </c>
      <c r="E43" s="39">
        <f>Q35</f>
        <v>9290.0679998856049</v>
      </c>
      <c r="G43" s="103" t="s">
        <v>5</v>
      </c>
      <c r="H43" s="39">
        <f>E43</f>
        <v>9290.0679998856049</v>
      </c>
      <c r="K43" s="161" t="s">
        <v>5</v>
      </c>
      <c r="L43" s="161" t="s">
        <v>145</v>
      </c>
    </row>
    <row r="44" spans="1:30" x14ac:dyDescent="0.25">
      <c r="D44" s="71" t="s">
        <v>18</v>
      </c>
      <c r="E44" s="72">
        <f>S35</f>
        <v>185747.99721586186</v>
      </c>
      <c r="G44" s="71" t="s">
        <v>18</v>
      </c>
      <c r="H44" s="72">
        <f>E44</f>
        <v>185747.99721586186</v>
      </c>
      <c r="K44" s="5" t="s">
        <v>146</v>
      </c>
      <c r="L44" s="161" t="s">
        <v>147</v>
      </c>
    </row>
    <row r="45" spans="1:30" x14ac:dyDescent="0.25">
      <c r="D45" s="103" t="s">
        <v>42</v>
      </c>
      <c r="E45" s="39">
        <f>B43-E46</f>
        <v>-102399.60856788023</v>
      </c>
      <c r="G45" s="103" t="s">
        <v>42</v>
      </c>
      <c r="H45" s="39">
        <f>B43-H46</f>
        <v>-131973.7155412639</v>
      </c>
      <c r="K45" s="5" t="s">
        <v>148</v>
      </c>
      <c r="L45" s="161" t="s">
        <v>149</v>
      </c>
    </row>
    <row r="46" spans="1:30" x14ac:dyDescent="0.25">
      <c r="D46" s="71" t="s">
        <v>22</v>
      </c>
      <c r="E46" s="72">
        <f>SUM(E39:E44)</f>
        <v>228423.65519222536</v>
      </c>
      <c r="G46" s="71" t="s">
        <v>22</v>
      </c>
      <c r="H46" s="72">
        <f>SUM(H39:H44)</f>
        <v>257997.76216560902</v>
      </c>
      <c r="K46" s="5" t="s">
        <v>150</v>
      </c>
      <c r="L46" s="161" t="s">
        <v>151</v>
      </c>
    </row>
    <row r="47" spans="1:30" x14ac:dyDescent="0.25">
      <c r="K47" s="125" t="s">
        <v>152</v>
      </c>
      <c r="L47" s="125" t="s">
        <v>153</v>
      </c>
    </row>
    <row r="48" spans="1:30" x14ac:dyDescent="0.25">
      <c r="K48" s="125" t="s">
        <v>154</v>
      </c>
      <c r="L48" s="125" t="s">
        <v>155</v>
      </c>
    </row>
    <row r="49" spans="4:8" x14ac:dyDescent="0.25">
      <c r="D49" s="114" t="s">
        <v>71</v>
      </c>
      <c r="E49" s="16"/>
      <c r="G49" s="114" t="s">
        <v>73</v>
      </c>
    </row>
    <row r="50" spans="4:8" x14ac:dyDescent="0.25">
      <c r="D50" s="103" t="s">
        <v>11</v>
      </c>
      <c r="E50" s="39">
        <f>E39</f>
        <v>22392.234520422408</v>
      </c>
      <c r="G50" s="103" t="s">
        <v>12</v>
      </c>
      <c r="H50" s="39">
        <f>H39</f>
        <v>51966.341493806074</v>
      </c>
    </row>
    <row r="51" spans="4:8" x14ac:dyDescent="0.25">
      <c r="D51" s="103" t="s">
        <v>13</v>
      </c>
      <c r="E51" s="39">
        <f>E40</f>
        <v>2981.9527164000001</v>
      </c>
      <c r="G51" s="103" t="s">
        <v>13</v>
      </c>
      <c r="H51" s="39">
        <f>E51</f>
        <v>2981.9527164000001</v>
      </c>
    </row>
    <row r="52" spans="4:8" x14ac:dyDescent="0.25">
      <c r="D52" s="71" t="s">
        <v>95</v>
      </c>
      <c r="E52" s="72">
        <f>E41</f>
        <v>1666.4739999999999</v>
      </c>
      <c r="G52" s="71" t="s">
        <v>95</v>
      </c>
      <c r="H52" s="72">
        <f>E52</f>
        <v>1666.4739999999999</v>
      </c>
    </row>
    <row r="53" spans="4:8" x14ac:dyDescent="0.25">
      <c r="D53" s="71" t="s">
        <v>20</v>
      </c>
      <c r="E53" s="72">
        <f>E42</f>
        <v>6344.9287396554801</v>
      </c>
      <c r="G53" s="71" t="s">
        <v>20</v>
      </c>
      <c r="H53" s="72">
        <f>E53</f>
        <v>6344.9287396554801</v>
      </c>
    </row>
    <row r="54" spans="4:8" x14ac:dyDescent="0.25">
      <c r="D54" s="103" t="s">
        <v>5</v>
      </c>
      <c r="E54" s="39">
        <f>E43</f>
        <v>9290.0679998856049</v>
      </c>
      <c r="G54" s="103" t="s">
        <v>5</v>
      </c>
      <c r="H54" s="39">
        <f>E54</f>
        <v>9290.0679998856049</v>
      </c>
    </row>
    <row r="55" spans="4:8" x14ac:dyDescent="0.25">
      <c r="D55" s="71" t="s">
        <v>18</v>
      </c>
      <c r="E55" s="72">
        <f>T35</f>
        <v>195490.41160987824</v>
      </c>
      <c r="G55" s="71" t="s">
        <v>18</v>
      </c>
      <c r="H55" s="72">
        <f>E55</f>
        <v>195490.41160987824</v>
      </c>
    </row>
    <row r="56" spans="4:8" x14ac:dyDescent="0.25">
      <c r="D56" s="103" t="s">
        <v>42</v>
      </c>
      <c r="E56" s="39">
        <f>B43-E57</f>
        <v>-112142.02296189661</v>
      </c>
      <c r="G56" s="103" t="s">
        <v>42</v>
      </c>
      <c r="H56" s="39">
        <f>B43-H57</f>
        <v>-141716.1299352803</v>
      </c>
    </row>
    <row r="57" spans="4:8" x14ac:dyDescent="0.25">
      <c r="D57" s="71" t="s">
        <v>22</v>
      </c>
      <c r="E57" s="72">
        <f>SUM(E50:E55)</f>
        <v>238166.06958624173</v>
      </c>
      <c r="G57" s="71" t="s">
        <v>22</v>
      </c>
      <c r="H57" s="72">
        <f>SUM(H50:H55)</f>
        <v>267740.17655962543</v>
      </c>
    </row>
    <row r="58" spans="4:8" x14ac:dyDescent="0.25">
      <c r="H58"/>
    </row>
    <row r="59" spans="4:8" x14ac:dyDescent="0.25">
      <c r="H59"/>
    </row>
    <row r="60" spans="4:8" x14ac:dyDescent="0.25">
      <c r="H60"/>
    </row>
    <row r="61" spans="4:8" x14ac:dyDescent="0.25">
      <c r="H61"/>
    </row>
    <row r="62" spans="4:8" x14ac:dyDescent="0.25">
      <c r="H62"/>
    </row>
  </sheetData>
  <mergeCells count="1">
    <mergeCell ref="A6:A7"/>
  </mergeCells>
  <printOptions gridLines="1"/>
  <pageMargins left="0.7" right="0.7" top="0.75" bottom="0.75" header="0.3" footer="0.3"/>
  <pageSetup paperSize="3" scale="7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A1:AG60"/>
  <sheetViews>
    <sheetView showGridLines="0" topLeftCell="A6" zoomScale="70" zoomScaleNormal="70" workbookViewId="0">
      <selection activeCell="A35" sqref="A35"/>
    </sheetView>
  </sheetViews>
  <sheetFormatPr defaultColWidth="9.140625" defaultRowHeight="15" x14ac:dyDescent="0.25"/>
  <cols>
    <col min="1" max="1" width="10.85546875" style="52" customWidth="1"/>
    <col min="2" max="2" width="19.42578125" style="57" customWidth="1"/>
    <col min="3" max="3" width="14.5703125" style="52" customWidth="1"/>
    <col min="4" max="4" width="16.140625" style="52" bestFit="1" customWidth="1"/>
    <col min="5" max="5" width="19.140625" style="52" bestFit="1" customWidth="1"/>
    <col min="6" max="6" width="16.140625" style="52" bestFit="1" customWidth="1"/>
    <col min="7" max="7" width="15.85546875" style="53" customWidth="1"/>
    <col min="8" max="8" width="17" style="53" customWidth="1"/>
    <col min="9" max="9" width="21.140625" style="53" customWidth="1"/>
    <col min="10" max="10" width="21.140625" style="124" customWidth="1"/>
    <col min="11" max="12" width="21.140625" style="52" customWidth="1"/>
    <col min="13" max="13" width="21.140625" style="126" customWidth="1"/>
    <col min="14" max="14" width="21.140625" style="67" customWidth="1"/>
    <col min="15" max="15" width="21.140625" style="52" customWidth="1"/>
    <col min="16" max="16" width="21.140625" style="112" customWidth="1"/>
    <col min="17" max="17" width="21.140625" style="68" customWidth="1"/>
    <col min="18" max="18" width="16.140625" style="57" bestFit="1" customWidth="1"/>
    <col min="19" max="20" width="23.5703125" style="52" customWidth="1"/>
    <col min="21" max="21" width="18.28515625" style="52" bestFit="1" customWidth="1"/>
    <col min="22" max="31" width="19.5703125" style="52" customWidth="1"/>
    <col min="32" max="32" width="19.5703125" style="57" customWidth="1"/>
    <col min="33" max="34" width="19.85546875" style="52" customWidth="1"/>
    <col min="35" max="16384" width="9.140625" style="52"/>
  </cols>
  <sheetData>
    <row r="1" spans="1:23" s="161" customFormat="1" x14ac:dyDescent="0.25">
      <c r="A1" s="6" t="s">
        <v>108</v>
      </c>
      <c r="B1" s="162">
        <v>43262</v>
      </c>
      <c r="G1" s="127"/>
      <c r="H1" s="127"/>
      <c r="I1" s="127"/>
      <c r="J1" s="127"/>
    </row>
    <row r="2" spans="1:23" s="161" customFormat="1" x14ac:dyDescent="0.25">
      <c r="A2" s="6" t="s">
        <v>109</v>
      </c>
      <c r="B2" s="6" t="s">
        <v>110</v>
      </c>
      <c r="G2" s="127"/>
      <c r="H2" s="127"/>
      <c r="I2" s="127"/>
      <c r="J2" s="127"/>
    </row>
    <row r="3" spans="1:23" x14ac:dyDescent="0.25">
      <c r="A3" s="52" t="s">
        <v>19</v>
      </c>
    </row>
    <row r="4" spans="1:23" x14ac:dyDescent="0.25">
      <c r="A4" s="52" t="s">
        <v>17</v>
      </c>
    </row>
    <row r="5" spans="1:23" s="6" customFormat="1" ht="15" customHeight="1" x14ac:dyDescent="0.25">
      <c r="D5" s="133"/>
      <c r="E5" s="133"/>
      <c r="F5" s="133"/>
      <c r="G5" s="158"/>
      <c r="H5" s="158"/>
      <c r="J5" s="133"/>
      <c r="K5" s="133"/>
      <c r="L5" s="133"/>
      <c r="M5" s="133"/>
      <c r="N5" s="133"/>
      <c r="O5" s="133"/>
      <c r="P5" s="133"/>
      <c r="Q5" s="133"/>
    </row>
    <row r="6" spans="1:23" s="6" customFormat="1" ht="45" customHeight="1" x14ac:dyDescent="0.25">
      <c r="A6" s="185" t="s">
        <v>1</v>
      </c>
      <c r="B6" s="163" t="s">
        <v>130</v>
      </c>
      <c r="C6" s="164" t="s">
        <v>11</v>
      </c>
      <c r="D6" s="164" t="s">
        <v>3</v>
      </c>
      <c r="E6" s="163" t="s">
        <v>20</v>
      </c>
      <c r="F6" s="181"/>
      <c r="G6" s="163" t="s">
        <v>56</v>
      </c>
      <c r="H6" s="141"/>
      <c r="I6" s="166" t="s">
        <v>4</v>
      </c>
      <c r="J6" s="166" t="s">
        <v>95</v>
      </c>
      <c r="K6" s="166" t="s">
        <v>12</v>
      </c>
      <c r="L6" s="166" t="s">
        <v>5</v>
      </c>
      <c r="M6" s="166" t="s">
        <v>20</v>
      </c>
      <c r="N6" s="166" t="s">
        <v>44</v>
      </c>
      <c r="O6" s="166" t="s">
        <v>94</v>
      </c>
      <c r="P6" s="166" t="s">
        <v>83</v>
      </c>
      <c r="Q6" s="173" t="s">
        <v>18</v>
      </c>
      <c r="R6" s="130"/>
      <c r="S6" s="166" t="s">
        <v>6</v>
      </c>
      <c r="T6" s="166" t="s">
        <v>7</v>
      </c>
      <c r="U6" s="181"/>
      <c r="V6" s="166" t="s">
        <v>39</v>
      </c>
      <c r="W6" s="166" t="s">
        <v>40</v>
      </c>
    </row>
    <row r="7" spans="1:23" s="6" customForma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81"/>
      <c r="G7" s="164" t="s">
        <v>8</v>
      </c>
      <c r="H7" s="141"/>
      <c r="I7" s="164" t="s">
        <v>8</v>
      </c>
      <c r="J7" s="164" t="s">
        <v>8</v>
      </c>
      <c r="K7" s="164" t="s">
        <v>8</v>
      </c>
      <c r="L7" s="164" t="s">
        <v>8</v>
      </c>
      <c r="M7" s="164" t="s">
        <v>8</v>
      </c>
      <c r="N7" s="164" t="s">
        <v>8</v>
      </c>
      <c r="O7" s="164" t="s">
        <v>8</v>
      </c>
      <c r="P7" s="164" t="s">
        <v>8</v>
      </c>
      <c r="Q7" s="183" t="s">
        <v>8</v>
      </c>
      <c r="R7" s="181"/>
      <c r="S7" s="164" t="s">
        <v>8</v>
      </c>
      <c r="T7" s="164" t="s">
        <v>8</v>
      </c>
      <c r="U7" s="181"/>
      <c r="V7" s="164" t="s">
        <v>8</v>
      </c>
      <c r="W7" s="164" t="s">
        <v>8</v>
      </c>
    </row>
    <row r="8" spans="1:23" s="6" customFormat="1" ht="15" customHeight="1" x14ac:dyDescent="0.25">
      <c r="A8" s="42">
        <v>1988</v>
      </c>
      <c r="B8" s="43">
        <f>'[1]Capped Flow'!J7</f>
        <v>1305216.0000000005</v>
      </c>
      <c r="C8" s="43">
        <f>'Lewellen_NonIrrigation Season'!C8+'NorthPlatte_NonIRR Season'!E8+'Odessa_NonIrrigation Season'!F8+'GIsland_NonIrrigation Season'!E8+'Duncan_NonIrrigation Season'!E8+'SPlatte_NonIrrigation Season'!F8</f>
        <v>348460.44355645945</v>
      </c>
      <c r="D8" s="155">
        <f>'Lewellen_NonIrrigation Season'!D8+'NorthPlatte_NonIRR Season'!G8+'NorthPlatte_NonIRR Season'!H7:H8+'Odessa_NonIrrigation Season'!H8+'SPlatte_NonIrrigation Season'!G8</f>
        <v>26970.315847018981</v>
      </c>
      <c r="E8" s="43">
        <f>'Lewellen_NonIrrigation Season'!E8+'NorthPlatte_NonIRR Season'!F8+'Odessa_NonIrrigation Season'!G8+'SPlatte_NonIrrigation Season'!E8</f>
        <v>86573.227983348639</v>
      </c>
      <c r="G8" s="72">
        <f>B8+C8+D8+E8</f>
        <v>1767219.9873868274</v>
      </c>
      <c r="H8" s="153"/>
      <c r="I8" s="72">
        <f>'Lewellen_NonIrrigation Season'!I8+'NorthPlatte_NonIRR Season'!P8+'NorthPlatte_NonIRR Season'!Q8+'Odessa_NonIrrigation Season'!N8+'SPlatte_NonIrrigation Season'!K8+'Odessa_NonIrrigation Season'!R8+'Odessa_NonIrrigation Season'!Z8</f>
        <v>45746.908394126156</v>
      </c>
      <c r="J8" s="72">
        <f>'NorthPlatte_NonIRR Season'!R8+'Odessa_NonIrrigation Season'!O8+'GIsland_NonIrrigation Season'!L8+'Duncan_NonIrrigation Season'!L8+'SPlatte_NonIrrigation Season'!M8</f>
        <v>13987.2</v>
      </c>
      <c r="K8" s="72">
        <f>MAX('Lewellen_NonIrrigation Season'!J8+'NorthPlatte_NonIRR Season'!S8+'Odessa_NonIrrigation Season'!P8+'GIsland_NonIrrigation Season'!K8+'Duncan_NonIrrigation Season'!K8+'SPlatte_NonIrrigation Season'!L8,C8)</f>
        <v>694454.86116322607</v>
      </c>
      <c r="L8" s="73">
        <f>'Lewellen_NonIrrigation Season'!M8+'NorthPlatte_NonIRR Season'!W8+'Odessa_NonIrrigation Season'!AC8+'SPlatte_NonIrrigation Season'!Q8</f>
        <v>296190.91999705491</v>
      </c>
      <c r="M8" s="73">
        <f>'Lewellen_NonIrrigation Season'!L8+'NorthPlatte_NonIRR Season'!X8+'Odessa_NonIrrigation Season'!AB8+'SPlatte_NonIrrigation Season'!R8</f>
        <v>86573.227983348639</v>
      </c>
      <c r="N8" s="73">
        <f>MAX('Odessa_NonIrrigation Season'!W8,'GIsland_NonIrrigation Season'!N8,'Duncan_NonIrrigation Season'!N8)</f>
        <v>222237.04545801994</v>
      </c>
      <c r="O8" s="73">
        <f>MAX('NorthPlatte_NonIRR Season'!U8+'SPlatte_NonIrrigation Season'!O8,'NorthPlatte_NonIRR Season'!V8+'SPlatte_NonIrrigation Season'!P8,'Odessa_NonIrrigation Season'!T8,'Odessa_NonIrrigation Season'!AA8)</f>
        <v>1027026</v>
      </c>
      <c r="P8" s="73">
        <f>[5]PlatteBWSproportions!$B$12*([2]SWDemand!T14+[2]SWDemand!U14)+MAX([5]PlatteBWSproportions!$B$12*[2]InducedRchrg!$B$10,[5]PlatteBWSproportions!F9,[5]PlatteBWSproportions!J9)</f>
        <v>171299.16865980625</v>
      </c>
      <c r="Q8" s="73">
        <f t="shared" ref="Q8:Q32" si="0">MAX(N8,O8,P8)</f>
        <v>1027026</v>
      </c>
      <c r="R8" s="19"/>
      <c r="S8" s="73">
        <f>C8+I8+L8+Q8+J8+M8</f>
        <v>1817984.699930989</v>
      </c>
      <c r="T8" s="73">
        <f>K8+I8+L8+Q8+J8+M8</f>
        <v>2163979.1175377555</v>
      </c>
      <c r="V8" s="87">
        <f t="shared" ref="V8:V32" si="1">$G8-S8</f>
        <v>-50764.712544161594</v>
      </c>
      <c r="W8" s="87">
        <f t="shared" ref="W8:W32" si="2">$G8-T8</f>
        <v>-396759.13015092816</v>
      </c>
    </row>
    <row r="9" spans="1:23" s="6" customFormat="1" ht="15" customHeight="1" x14ac:dyDescent="0.25">
      <c r="A9" s="42">
        <v>1989</v>
      </c>
      <c r="B9" s="43">
        <f>'[1]Capped Flow'!J8</f>
        <v>684881.99999999988</v>
      </c>
      <c r="C9" s="43">
        <f>'Lewellen_NonIrrigation Season'!C9+'NorthPlatte_NonIRR Season'!E9+'Odessa_NonIrrigation Season'!F9+'GIsland_NonIrrigation Season'!E9+'Duncan_NonIrrigation Season'!E9+'SPlatte_NonIrrigation Season'!F9</f>
        <v>391612.62760204874</v>
      </c>
      <c r="D9" s="155">
        <f>'Lewellen_NonIrrigation Season'!D9+'NorthPlatte_NonIRR Season'!G9+'NorthPlatte_NonIRR Season'!H8:H9+'Odessa_NonIrrigation Season'!H9+'SPlatte_NonIrrigation Season'!G9</f>
        <v>28902.716181514043</v>
      </c>
      <c r="E9" s="43">
        <f>'Lewellen_NonIrrigation Season'!E9+'NorthPlatte_NonIRR Season'!F9+'Odessa_NonIrrigation Season'!G9+'SPlatte_NonIrrigation Season'!E9</f>
        <v>88664.694955546191</v>
      </c>
      <c r="G9" s="72">
        <f t="shared" ref="G9:G32" si="3">B9+C9+D9+E9</f>
        <v>1194062.0387391089</v>
      </c>
      <c r="H9" s="153"/>
      <c r="I9" s="72">
        <f>'Lewellen_NonIrrigation Season'!I9+'NorthPlatte_NonIRR Season'!P9+'NorthPlatte_NonIRR Season'!Q9+'Odessa_NonIrrigation Season'!N9+'SPlatte_NonIrrigation Season'!K9+'Odessa_NonIrrigation Season'!R9+'Odessa_NonIrrigation Season'!Z9</f>
        <v>51964.622991421158</v>
      </c>
      <c r="J9" s="72">
        <f>'NorthPlatte_NonIRR Season'!R9+'Odessa_NonIrrigation Season'!O9+'GIsland_NonIrrigation Season'!L9+'Duncan_NonIrrigation Season'!L9+'SPlatte_NonIrrigation Season'!M9</f>
        <v>14287.260000000002</v>
      </c>
      <c r="K9" s="72">
        <f>MAX('Lewellen_NonIrrigation Season'!J9+'NorthPlatte_NonIRR Season'!S9+'Odessa_NonIrrigation Season'!P9+'GIsland_NonIrrigation Season'!K9+'Duncan_NonIrrigation Season'!K9+'SPlatte_NonIrrigation Season'!L9,C9)</f>
        <v>743167.86136148917</v>
      </c>
      <c r="L9" s="73">
        <f>'Lewellen_NonIrrigation Season'!M9+'NorthPlatte_NonIRR Season'!W9+'Odessa_NonIrrigation Season'!AC9+'SPlatte_NonIrrigation Season'!Q9</f>
        <v>250330.71999668912</v>
      </c>
      <c r="M9" s="73">
        <f>'Lewellen_NonIrrigation Season'!L9+'NorthPlatte_NonIRR Season'!X9+'Odessa_NonIrrigation Season'!AB9+'SPlatte_NonIrrigation Season'!R9</f>
        <v>88664.694955546191</v>
      </c>
      <c r="N9" s="73">
        <f>MAX('Odessa_NonIrrigation Season'!W9,'GIsland_NonIrrigation Season'!N9,'Duncan_NonIrrigation Season'!N9)</f>
        <v>158872.27015026912</v>
      </c>
      <c r="O9" s="73">
        <f>MAX('NorthPlatte_NonIRR Season'!U9+'SPlatte_NonIrrigation Season'!O9,'NorthPlatte_NonIRR Season'!V9+'SPlatte_NonIrrigation Season'!P9,'Odessa_NonIrrigation Season'!T9,'Odessa_NonIrrigation Season'!AA9)</f>
        <v>1018360.3303516989</v>
      </c>
      <c r="P9" s="73">
        <f>[5]PlatteBWSproportions!$B$12*([2]SWDemand!T15+[2]SWDemand!U15)+MAX([5]PlatteBWSproportions!$B$12*[2]InducedRchrg!$B$10,[5]PlatteBWSproportions!F10,[5]PlatteBWSproportions!J10)</f>
        <v>254730.74765976807</v>
      </c>
      <c r="Q9" s="73">
        <f t="shared" si="0"/>
        <v>1018360.3303516989</v>
      </c>
      <c r="R9" s="19"/>
      <c r="S9" s="73">
        <f t="shared" ref="S9:S32" si="4">C9+I9+L9+Q9+J9+M9</f>
        <v>1815220.2558974042</v>
      </c>
      <c r="T9" s="73">
        <f t="shared" ref="T9:T32" si="5">K9+I9+L9+Q9+J9+M9</f>
        <v>2166775.4896568446</v>
      </c>
      <c r="V9" s="87">
        <f t="shared" si="1"/>
        <v>-621158.21715829521</v>
      </c>
      <c r="W9" s="87">
        <f t="shared" si="2"/>
        <v>-972713.4509177357</v>
      </c>
    </row>
    <row r="10" spans="1:23" s="6" customFormat="1" ht="15" customHeight="1" x14ac:dyDescent="0.25">
      <c r="A10" s="42">
        <v>1990</v>
      </c>
      <c r="B10" s="43">
        <f>'[1]Capped Flow'!J9</f>
        <v>890362.44000000018</v>
      </c>
      <c r="C10" s="43">
        <f>'Lewellen_NonIrrigation Season'!C10+'NorthPlatte_NonIRR Season'!E10+'Odessa_NonIrrigation Season'!F10+'GIsland_NonIrrigation Season'!E10+'Duncan_NonIrrigation Season'!E10+'SPlatte_NonIrrigation Season'!F10</f>
        <v>423943.86258658115</v>
      </c>
      <c r="D10" s="155">
        <f>'Lewellen_NonIrrigation Season'!D10+'NorthPlatte_NonIRR Season'!G10+'NorthPlatte_NonIRR Season'!H9:H10+'Odessa_NonIrrigation Season'!H10+'SPlatte_NonIrrigation Season'!G10</f>
        <v>20893.030136018551</v>
      </c>
      <c r="E10" s="43">
        <f>'Lewellen_NonIrrigation Season'!E10+'NorthPlatte_NonIRR Season'!F10+'Odessa_NonIrrigation Season'!G10+'SPlatte_NonIrrigation Season'!E10</f>
        <v>58554.302693219048</v>
      </c>
      <c r="G10" s="72">
        <f t="shared" si="3"/>
        <v>1393753.635415819</v>
      </c>
      <c r="H10" s="153"/>
      <c r="I10" s="72">
        <f>'Lewellen_NonIrrigation Season'!I10+'NorthPlatte_NonIRR Season'!P10+'NorthPlatte_NonIRR Season'!Q10+'Odessa_NonIrrigation Season'!N10+'SPlatte_NonIrrigation Season'!K10+'Odessa_NonIrrigation Season'!R10+'Odessa_NonIrrigation Season'!Z10</f>
        <v>38077.696713296311</v>
      </c>
      <c r="J10" s="72">
        <f>'NorthPlatte_NonIRR Season'!R10+'Odessa_NonIrrigation Season'!O10+'GIsland_NonIrrigation Season'!L10+'Duncan_NonIrrigation Season'!L10+'SPlatte_NonIrrigation Season'!M10</f>
        <v>14787.900000000001</v>
      </c>
      <c r="K10" s="72">
        <f>MAX('Lewellen_NonIrrigation Season'!J10+'NorthPlatte_NonIRR Season'!S10+'Odessa_NonIrrigation Season'!P10+'GIsland_NonIrrigation Season'!K10+'Duncan_NonIrrigation Season'!K10+'SPlatte_NonIrrigation Season'!L10,C10)</f>
        <v>739963.47236266546</v>
      </c>
      <c r="L10" s="73">
        <f>'Lewellen_NonIrrigation Season'!M10+'NorthPlatte_NonIRR Season'!W10+'Odessa_NonIrrigation Season'!AC10+'SPlatte_NonIrrigation Season'!Q10</f>
        <v>235718.44000284895</v>
      </c>
      <c r="M10" s="73">
        <f>'Lewellen_NonIrrigation Season'!L10+'NorthPlatte_NonIRR Season'!X10+'Odessa_NonIrrigation Season'!AB10+'SPlatte_NonIrrigation Season'!R10</f>
        <v>58554.302693219048</v>
      </c>
      <c r="N10" s="73">
        <f>MAX('Odessa_NonIrrigation Season'!W10,'GIsland_NonIrrigation Season'!N10,'Duncan_NonIrrigation Season'!N10)</f>
        <v>153138.46250864305</v>
      </c>
      <c r="O10" s="73">
        <f>MAX('NorthPlatte_NonIRR Season'!U10+'SPlatte_NonIrrigation Season'!O10,'NorthPlatte_NonIRR Season'!V10+'SPlatte_NonIrrigation Season'!P10,'Odessa_NonIrrigation Season'!T10,'Odessa_NonIrrigation Season'!AA10)</f>
        <v>1016294.2930835562</v>
      </c>
      <c r="P10" s="73">
        <f>[5]PlatteBWSproportions!$B$12*([2]SWDemand!T16+[2]SWDemand!U16)+MAX([5]PlatteBWSproportions!$B$12*[2]InducedRchrg!$B$10,[5]PlatteBWSproportions!F11,[5]PlatteBWSproportions!J11)</f>
        <v>258918.0754055024</v>
      </c>
      <c r="Q10" s="73">
        <f t="shared" si="0"/>
        <v>1016294.2930835562</v>
      </c>
      <c r="R10" s="19"/>
      <c r="S10" s="73">
        <f t="shared" si="4"/>
        <v>1787376.4950795018</v>
      </c>
      <c r="T10" s="73">
        <f t="shared" si="5"/>
        <v>2103396.1048555858</v>
      </c>
      <c r="V10" s="87">
        <f t="shared" si="1"/>
        <v>-393622.85966368276</v>
      </c>
      <c r="W10" s="87">
        <f t="shared" si="2"/>
        <v>-709642.46943976684</v>
      </c>
    </row>
    <row r="11" spans="1:23" s="6" customFormat="1" ht="15" customHeight="1" x14ac:dyDescent="0.25">
      <c r="A11" s="42">
        <v>1991</v>
      </c>
      <c r="B11" s="43">
        <f>'[1]Capped Flow'!J10</f>
        <v>554318.02799999993</v>
      </c>
      <c r="C11" s="43">
        <f>'Lewellen_NonIrrigation Season'!C11+'NorthPlatte_NonIRR Season'!E11+'Odessa_NonIrrigation Season'!F11+'GIsland_NonIrrigation Season'!E11+'Duncan_NonIrrigation Season'!E11+'SPlatte_NonIrrigation Season'!F11</f>
        <v>422476.53853230953</v>
      </c>
      <c r="D11" s="155">
        <f>'Lewellen_NonIrrigation Season'!D11+'NorthPlatte_NonIRR Season'!G11+'NorthPlatte_NonIRR Season'!H10:H11+'Odessa_NonIrrigation Season'!H11+'SPlatte_NonIrrigation Season'!G11</f>
        <v>30316.468991462483</v>
      </c>
      <c r="E11" s="43">
        <f>'Lewellen_NonIrrigation Season'!E11+'NorthPlatte_NonIRR Season'!F11+'Odessa_NonIrrigation Season'!G11+'SPlatte_NonIrrigation Season'!E11</f>
        <v>74156.077822467079</v>
      </c>
      <c r="G11" s="72">
        <f t="shared" si="3"/>
        <v>1081267.1133462391</v>
      </c>
      <c r="H11" s="153"/>
      <c r="I11" s="72">
        <f>'Lewellen_NonIrrigation Season'!I11+'NorthPlatte_NonIRR Season'!P11+'NorthPlatte_NonIRR Season'!Q11+'Odessa_NonIrrigation Season'!N11+'SPlatte_NonIrrigation Season'!K11+'Odessa_NonIrrigation Season'!R11+'Odessa_NonIrrigation Season'!Z11</f>
        <v>52682.515090351742</v>
      </c>
      <c r="J11" s="72">
        <f>'NorthPlatte_NonIRR Season'!R11+'Odessa_NonIrrigation Season'!O11+'GIsland_NonIrrigation Season'!L11+'Duncan_NonIrrigation Season'!L11+'SPlatte_NonIrrigation Season'!M11</f>
        <v>15160.230000000001</v>
      </c>
      <c r="K11" s="72">
        <f>MAX('Lewellen_NonIrrigation Season'!J11+'NorthPlatte_NonIRR Season'!S11+'Odessa_NonIrrigation Season'!P11+'GIsland_NonIrrigation Season'!K11+'Duncan_NonIrrigation Season'!K11+'SPlatte_NonIrrigation Season'!L11,C11)</f>
        <v>714274.58560240571</v>
      </c>
      <c r="L11" s="73">
        <f>'Lewellen_NonIrrigation Season'!M11+'NorthPlatte_NonIRR Season'!W11+'Odessa_NonIrrigation Season'!AC11+'SPlatte_NonIrrigation Season'!Q11</f>
        <v>212676.12999937407</v>
      </c>
      <c r="M11" s="73">
        <f>'Lewellen_NonIrrigation Season'!L11+'NorthPlatte_NonIRR Season'!X11+'Odessa_NonIrrigation Season'!AB11+'SPlatte_NonIrrigation Season'!R11</f>
        <v>74156.077822467079</v>
      </c>
      <c r="N11" s="73">
        <f>MAX('Odessa_NonIrrigation Season'!W11,'GIsland_NonIrrigation Season'!N11,'Duncan_NonIrrigation Season'!N11)</f>
        <v>135263.17577344878</v>
      </c>
      <c r="O11" s="73">
        <f>MAX('NorthPlatte_NonIRR Season'!U11+'SPlatte_NonIrrigation Season'!O11,'NorthPlatte_NonIRR Season'!V11+'SPlatte_NonIrrigation Season'!P11,'Odessa_NonIrrigation Season'!T11,'Odessa_NonIrrigation Season'!AA11)</f>
        <v>869735.98529495182</v>
      </c>
      <c r="P11" s="73">
        <f>[5]PlatteBWSproportions!$B$12*([2]SWDemand!T17+[2]SWDemand!U17)+MAX([5]PlatteBWSproportions!$B$12*[2]InducedRchrg!$B$10,[5]PlatteBWSproportions!F12,[5]PlatteBWSproportions!J12)</f>
        <v>149213.10771342952</v>
      </c>
      <c r="Q11" s="73">
        <f t="shared" si="0"/>
        <v>869735.98529495182</v>
      </c>
      <c r="R11" s="19"/>
      <c r="S11" s="73">
        <f t="shared" si="4"/>
        <v>1646887.4767394543</v>
      </c>
      <c r="T11" s="73">
        <f t="shared" si="5"/>
        <v>1938685.5238095503</v>
      </c>
      <c r="V11" s="87">
        <f t="shared" si="1"/>
        <v>-565620.36339321523</v>
      </c>
      <c r="W11" s="87">
        <f t="shared" si="2"/>
        <v>-857418.41046331124</v>
      </c>
    </row>
    <row r="12" spans="1:23" s="6" customFormat="1" ht="15" customHeight="1" x14ac:dyDescent="0.25">
      <c r="A12" s="42">
        <v>1992</v>
      </c>
      <c r="B12" s="43">
        <f>'[1]Capped Flow'!J11</f>
        <v>679125.24900000007</v>
      </c>
      <c r="C12" s="43">
        <f>'Lewellen_NonIrrigation Season'!C12+'NorthPlatte_NonIRR Season'!E12+'Odessa_NonIrrigation Season'!F12+'GIsland_NonIrrigation Season'!E12+'Duncan_NonIrrigation Season'!E12+'SPlatte_NonIrrigation Season'!F12</f>
        <v>424785.87267154048</v>
      </c>
      <c r="D12" s="155">
        <f>'Lewellen_NonIrrigation Season'!D12+'NorthPlatte_NonIRR Season'!G12+'NorthPlatte_NonIRR Season'!H11:H12+'Odessa_NonIrrigation Season'!H12+'SPlatte_NonIrrigation Season'!G12</f>
        <v>25232.692359493329</v>
      </c>
      <c r="E12" s="43">
        <f>'Lewellen_NonIrrigation Season'!E12+'NorthPlatte_NonIRR Season'!F12+'Odessa_NonIrrigation Season'!G12+'SPlatte_NonIrrigation Season'!E12</f>
        <v>82227.612717424228</v>
      </c>
      <c r="G12" s="72">
        <f t="shared" si="3"/>
        <v>1211371.4267484583</v>
      </c>
      <c r="H12" s="153"/>
      <c r="I12" s="72">
        <f>'Lewellen_NonIrrigation Season'!I12+'NorthPlatte_NonIRR Season'!P12+'NorthPlatte_NonIRR Season'!Q12+'Odessa_NonIrrigation Season'!N12+'SPlatte_NonIrrigation Season'!K12+'Odessa_NonIrrigation Season'!R12+'Odessa_NonIrrigation Season'!Z12</f>
        <v>45403.462020099076</v>
      </c>
      <c r="J12" s="72">
        <f>'NorthPlatte_NonIRR Season'!R12+'Odessa_NonIrrigation Season'!O12+'GIsland_NonIrrigation Season'!L12+'Duncan_NonIrrigation Season'!L12+'SPlatte_NonIrrigation Season'!M12</f>
        <v>15336.059999999998</v>
      </c>
      <c r="K12" s="72">
        <f>MAX('Lewellen_NonIrrigation Season'!J12+'NorthPlatte_NonIRR Season'!S12+'Odessa_NonIrrigation Season'!P12+'GIsland_NonIrrigation Season'!K12+'Duncan_NonIrrigation Season'!K12+'SPlatte_NonIrrigation Season'!L12,C12)</f>
        <v>666878.01969859516</v>
      </c>
      <c r="L12" s="73">
        <f>'Lewellen_NonIrrigation Season'!M12+'NorthPlatte_NonIRR Season'!W12+'Odessa_NonIrrigation Season'!AC12+'SPlatte_NonIrrigation Season'!Q12</f>
        <v>247874.73999994801</v>
      </c>
      <c r="M12" s="73">
        <f>'Lewellen_NonIrrigation Season'!L12+'NorthPlatte_NonIRR Season'!X12+'Odessa_NonIrrigation Season'!AB12+'SPlatte_NonIrrigation Season'!R12</f>
        <v>82227.612717424228</v>
      </c>
      <c r="N12" s="73">
        <f>MAX('Odessa_NonIrrigation Season'!W12,'GIsland_NonIrrigation Season'!N12,'Duncan_NonIrrigation Season'!N12)</f>
        <v>234685.19727553177</v>
      </c>
      <c r="O12" s="73">
        <f>MAX('NorthPlatte_NonIRR Season'!U12+'SPlatte_NonIrrigation Season'!O12,'NorthPlatte_NonIRR Season'!V12+'SPlatte_NonIrrigation Season'!P12,'Odessa_NonIrrigation Season'!T12,'Odessa_NonIrrigation Season'!AA12)</f>
        <v>998690.23005222669</v>
      </c>
      <c r="P12" s="73">
        <f>[5]PlatteBWSproportions!$B$12*([2]SWDemand!T18+[2]SWDemand!U18)+MAX([5]PlatteBWSproportions!$B$12*[2]InducedRchrg!$B$10,[5]PlatteBWSproportions!F13,[5]PlatteBWSproportions!J13)</f>
        <v>400260.16153019044</v>
      </c>
      <c r="Q12" s="73">
        <f t="shared" si="0"/>
        <v>998690.23005222669</v>
      </c>
      <c r="R12" s="19"/>
      <c r="S12" s="73">
        <f t="shared" si="4"/>
        <v>1814317.9774612386</v>
      </c>
      <c r="T12" s="73">
        <f t="shared" si="5"/>
        <v>2056410.1244882932</v>
      </c>
      <c r="V12" s="87">
        <f t="shared" si="1"/>
        <v>-602946.55071278033</v>
      </c>
      <c r="W12" s="87">
        <f t="shared" si="2"/>
        <v>-845038.6977398349</v>
      </c>
    </row>
    <row r="13" spans="1:23" s="6" customFormat="1" ht="15" customHeight="1" x14ac:dyDescent="0.25">
      <c r="A13" s="42">
        <v>1993</v>
      </c>
      <c r="B13" s="43">
        <f>'[1]Capped Flow'!J12</f>
        <v>1018650.6000000001</v>
      </c>
      <c r="C13" s="43">
        <f>'Lewellen_NonIrrigation Season'!C13+'NorthPlatte_NonIRR Season'!E13+'Odessa_NonIrrigation Season'!F13+'GIsland_NonIrrigation Season'!E13+'Duncan_NonIrrigation Season'!E13+'SPlatte_NonIrrigation Season'!F13</f>
        <v>415813.6329797834</v>
      </c>
      <c r="D13" s="155">
        <f>'Lewellen_NonIrrigation Season'!D13+'NorthPlatte_NonIRR Season'!G13+'NorthPlatte_NonIRR Season'!H12:H13+'Odessa_NonIrrigation Season'!H13+'SPlatte_NonIrrigation Season'!G13</f>
        <v>38974.633032485319</v>
      </c>
      <c r="E13" s="43">
        <f>'Lewellen_NonIrrigation Season'!E13+'NorthPlatte_NonIRR Season'!F13+'Odessa_NonIrrigation Season'!G13+'SPlatte_NonIrrigation Season'!E13</f>
        <v>55777.461253284899</v>
      </c>
      <c r="G13" s="72">
        <f t="shared" si="3"/>
        <v>1529216.3272655539</v>
      </c>
      <c r="H13" s="153"/>
      <c r="I13" s="72">
        <f>'Lewellen_NonIrrigation Season'!I13+'NorthPlatte_NonIRR Season'!P13+'NorthPlatte_NonIRR Season'!Q13+'Odessa_NonIrrigation Season'!N13+'SPlatte_NonIrrigation Season'!K13+'Odessa_NonIrrigation Season'!R13+'Odessa_NonIrrigation Season'!Z13</f>
        <v>78522.554012741835</v>
      </c>
      <c r="J13" s="72">
        <f>'NorthPlatte_NonIRR Season'!R13+'Odessa_NonIrrigation Season'!O13+'GIsland_NonIrrigation Season'!L13+'Duncan_NonIrrigation Season'!L13+'SPlatte_NonIrrigation Season'!M13</f>
        <v>15510.679999999998</v>
      </c>
      <c r="K13" s="72">
        <f>MAX('Lewellen_NonIrrigation Season'!J13+'NorthPlatte_NonIRR Season'!S13+'Odessa_NonIrrigation Season'!P13+'GIsland_NonIrrigation Season'!K13+'Duncan_NonIrrigation Season'!K13+'SPlatte_NonIrrigation Season'!L13,C13)</f>
        <v>506687.46209400339</v>
      </c>
      <c r="L13" s="73">
        <f>'Lewellen_NonIrrigation Season'!M13+'NorthPlatte_NonIRR Season'!W13+'Odessa_NonIrrigation Season'!AC13+'SPlatte_NonIrrigation Season'!Q13</f>
        <v>272990.13000101602</v>
      </c>
      <c r="M13" s="73">
        <f>'Lewellen_NonIrrigation Season'!L13+'NorthPlatte_NonIRR Season'!X13+'Odessa_NonIrrigation Season'!AB13+'SPlatte_NonIrrigation Season'!R13</f>
        <v>55777.461253284899</v>
      </c>
      <c r="N13" s="73">
        <f>MAX('Odessa_NonIrrigation Season'!W13,'GIsland_NonIrrigation Season'!N13,'Duncan_NonIrrigation Season'!N13)</f>
        <v>327285.58937209996</v>
      </c>
      <c r="O13" s="73">
        <f>MAX('NorthPlatte_NonIRR Season'!U13+'SPlatte_NonIrrigation Season'!O13,'NorthPlatte_NonIRR Season'!V13+'SPlatte_NonIrrigation Season'!P13,'Odessa_NonIrrigation Season'!T13,'Odessa_NonIrrigation Season'!AA13)</f>
        <v>1027026</v>
      </c>
      <c r="P13" s="73">
        <f>[5]PlatteBWSproportions!$B$12*([2]SWDemand!T19+[2]SWDemand!U19)+MAX([5]PlatteBWSproportions!$B$12*[2]InducedRchrg!$B$10,[5]PlatteBWSproportions!F14,[5]PlatteBWSproportions!J14)</f>
        <v>427843.18308172055</v>
      </c>
      <c r="Q13" s="73">
        <f t="shared" si="0"/>
        <v>1027026</v>
      </c>
      <c r="R13" s="19"/>
      <c r="S13" s="73">
        <f t="shared" si="4"/>
        <v>1865640.4582468262</v>
      </c>
      <c r="T13" s="73">
        <f t="shared" si="5"/>
        <v>1956514.2873610461</v>
      </c>
      <c r="V13" s="87">
        <f t="shared" si="1"/>
        <v>-336424.13098127232</v>
      </c>
      <c r="W13" s="87">
        <f t="shared" si="2"/>
        <v>-427297.96009549219</v>
      </c>
    </row>
    <row r="14" spans="1:23" s="6" customFormat="1" ht="15" customHeight="1" x14ac:dyDescent="0.25">
      <c r="A14" s="42">
        <v>1994</v>
      </c>
      <c r="B14" s="43">
        <f>'[1]Capped Flow'!J13</f>
        <v>1221398.6400000001</v>
      </c>
      <c r="C14" s="43">
        <f>'Lewellen_NonIrrigation Season'!C14+'NorthPlatte_NonIRR Season'!E14+'Odessa_NonIrrigation Season'!F14+'GIsland_NonIrrigation Season'!E14+'Duncan_NonIrrigation Season'!E14+'SPlatte_NonIrrigation Season'!F14</f>
        <v>412720.72088024247</v>
      </c>
      <c r="D14" s="155">
        <f>'Lewellen_NonIrrigation Season'!D14+'NorthPlatte_NonIRR Season'!G14+'NorthPlatte_NonIRR Season'!H13:H14+'Odessa_NonIrrigation Season'!H14+'SPlatte_NonIrrigation Season'!G14</f>
        <v>37587.988652488959</v>
      </c>
      <c r="E14" s="43">
        <f>'Lewellen_NonIrrigation Season'!E14+'NorthPlatte_NonIRR Season'!F14+'Odessa_NonIrrigation Season'!G14+'SPlatte_NonIrrigation Season'!E14</f>
        <v>74612.85217847969</v>
      </c>
      <c r="G14" s="72">
        <f t="shared" si="3"/>
        <v>1746320.2017112114</v>
      </c>
      <c r="H14" s="153"/>
      <c r="I14" s="72">
        <f>'Lewellen_NonIrrigation Season'!I14+'NorthPlatte_NonIRR Season'!P14+'NorthPlatte_NonIRR Season'!Q14+'Odessa_NonIrrigation Season'!N14+'SPlatte_NonIrrigation Season'!K14+'Odessa_NonIrrigation Season'!R14+'Odessa_NonIrrigation Season'!Z14</f>
        <v>69164.410485397908</v>
      </c>
      <c r="J14" s="72">
        <f>'NorthPlatte_NonIRR Season'!R14+'Odessa_NonIrrigation Season'!O14+'GIsland_NonIrrigation Season'!L14+'Duncan_NonIrrigation Season'!L14+'SPlatte_NonIrrigation Season'!M14</f>
        <v>15644.95</v>
      </c>
      <c r="K14" s="72">
        <f>MAX('Lewellen_NonIrrigation Season'!J14+'NorthPlatte_NonIRR Season'!S14+'Odessa_NonIrrigation Season'!P14+'GIsland_NonIrrigation Season'!K14+'Duncan_NonIrrigation Season'!K14+'SPlatte_NonIrrigation Season'!L14,C14)</f>
        <v>728642.89055748354</v>
      </c>
      <c r="L14" s="73">
        <f>'Lewellen_NonIrrigation Season'!M14+'NorthPlatte_NonIRR Season'!W14+'Odessa_NonIrrigation Season'!AC14+'SPlatte_NonIrrigation Season'!Q14</f>
        <v>233076.30000452697</v>
      </c>
      <c r="M14" s="73">
        <f>'Lewellen_NonIrrigation Season'!L14+'NorthPlatte_NonIRR Season'!X14+'Odessa_NonIrrigation Season'!AB14+'SPlatte_NonIrrigation Season'!R14</f>
        <v>74612.85217847969</v>
      </c>
      <c r="N14" s="73">
        <f>MAX('Odessa_NonIrrigation Season'!W14,'GIsland_NonIrrigation Season'!N14,'Duncan_NonIrrigation Season'!N14)</f>
        <v>233977.06468780691</v>
      </c>
      <c r="O14" s="73">
        <f>MAX('NorthPlatte_NonIRR Season'!U14+'SPlatte_NonIrrigation Season'!O14,'NorthPlatte_NonIRR Season'!V14+'SPlatte_NonIrrigation Season'!P14,'Odessa_NonIrrigation Season'!T14,'Odessa_NonIrrigation Season'!AA14)</f>
        <v>1027026</v>
      </c>
      <c r="P14" s="73">
        <f>[5]PlatteBWSproportions!$B$12*([2]SWDemand!T20+[2]SWDemand!U20)+MAX([5]PlatteBWSproportions!$B$12*[2]InducedRchrg!$B$10,[5]PlatteBWSproportions!F15,[5]PlatteBWSproportions!J15)</f>
        <v>316126.32607627608</v>
      </c>
      <c r="Q14" s="73">
        <f t="shared" si="0"/>
        <v>1027026</v>
      </c>
      <c r="R14" s="19"/>
      <c r="S14" s="73">
        <f t="shared" si="4"/>
        <v>1832245.233548647</v>
      </c>
      <c r="T14" s="73">
        <f t="shared" si="5"/>
        <v>2148167.403225888</v>
      </c>
      <c r="V14" s="87">
        <f t="shared" si="1"/>
        <v>-85925.031837435672</v>
      </c>
      <c r="W14" s="87">
        <f t="shared" si="2"/>
        <v>-401847.20151467668</v>
      </c>
    </row>
    <row r="15" spans="1:23" s="6" customFormat="1" ht="15" customHeight="1" x14ac:dyDescent="0.25">
      <c r="A15" s="42">
        <v>1995</v>
      </c>
      <c r="B15" s="43">
        <f>'[1]Capped Flow'!J14</f>
        <v>878516.1</v>
      </c>
      <c r="C15" s="43">
        <f>'Lewellen_NonIrrigation Season'!C15+'NorthPlatte_NonIRR Season'!E15+'Odessa_NonIrrigation Season'!F15+'GIsland_NonIrrigation Season'!E15+'Duncan_NonIrrigation Season'!E15+'SPlatte_NonIrrigation Season'!F15</f>
        <v>422302.76895931672</v>
      </c>
      <c r="D15" s="155">
        <f>'Lewellen_NonIrrigation Season'!D15+'NorthPlatte_NonIRR Season'!G15+'NorthPlatte_NonIRR Season'!H14:H15+'Odessa_NonIrrigation Season'!H15+'SPlatte_NonIrrigation Season'!G15</f>
        <v>17874.910432055516</v>
      </c>
      <c r="E15" s="43">
        <f>'Lewellen_NonIrrigation Season'!E15+'NorthPlatte_NonIRR Season'!F15+'Odessa_NonIrrigation Season'!G15+'SPlatte_NonIrrigation Season'!E15</f>
        <v>77606.955682373111</v>
      </c>
      <c r="G15" s="72">
        <f t="shared" si="3"/>
        <v>1396300.7350737455</v>
      </c>
      <c r="H15" s="153"/>
      <c r="I15" s="72">
        <f>'Lewellen_NonIrrigation Season'!I15+'NorthPlatte_NonIRR Season'!P15+'NorthPlatte_NonIRR Season'!Q15+'Odessa_NonIrrigation Season'!N15+'SPlatte_NonIrrigation Season'!K15+'Odessa_NonIrrigation Season'!R15+'Odessa_NonIrrigation Season'!Z15</f>
        <v>28330.041257629153</v>
      </c>
      <c r="J15" s="72">
        <f>'NorthPlatte_NonIRR Season'!R15+'Odessa_NonIrrigation Season'!O15+'GIsland_NonIrrigation Season'!L15+'Duncan_NonIrrigation Season'!L15+'SPlatte_NonIrrigation Season'!M15</f>
        <v>15870.369999999999</v>
      </c>
      <c r="K15" s="72">
        <f>MAX('Lewellen_NonIrrigation Season'!J15+'NorthPlatte_NonIRR Season'!S15+'Odessa_NonIrrigation Season'!P15+'GIsland_NonIrrigation Season'!K15+'Duncan_NonIrrigation Season'!K15+'SPlatte_NonIrrigation Season'!L15,C15)</f>
        <v>721409.59851747169</v>
      </c>
      <c r="L15" s="73">
        <f>'Lewellen_NonIrrigation Season'!M15+'NorthPlatte_NonIRR Season'!W15+'Odessa_NonIrrigation Season'!AC15+'SPlatte_NonIrrigation Season'!Q15</f>
        <v>255825.06000793498</v>
      </c>
      <c r="M15" s="73">
        <f>'Lewellen_NonIrrigation Season'!L15+'NorthPlatte_NonIRR Season'!X15+'Odessa_NonIrrigation Season'!AB15+'SPlatte_NonIrrigation Season'!R15</f>
        <v>77606.955682373111</v>
      </c>
      <c r="N15" s="73">
        <f>MAX('Odessa_NonIrrigation Season'!W15,'GIsland_NonIrrigation Season'!N15,'Duncan_NonIrrigation Season'!N15)</f>
        <v>201975.1988749046</v>
      </c>
      <c r="O15" s="73">
        <f>MAX('NorthPlatte_NonIRR Season'!U15+'SPlatte_NonIrrigation Season'!O15,'NorthPlatte_NonIRR Season'!V15+'SPlatte_NonIrrigation Season'!P15,'Odessa_NonIrrigation Season'!T15,'Odessa_NonIrrigation Season'!AA15)</f>
        <v>979182.1716788566</v>
      </c>
      <c r="P15" s="73">
        <f>[5]PlatteBWSproportions!$B$12*([2]SWDemand!T21+[2]SWDemand!U21)+MAX([5]PlatteBWSproportions!$B$12*[2]InducedRchrg!$B$10,[5]PlatteBWSproportions!F16,[5]PlatteBWSproportions!J16)</f>
        <v>203764.39012090917</v>
      </c>
      <c r="Q15" s="73">
        <f t="shared" si="0"/>
        <v>979182.1716788566</v>
      </c>
      <c r="R15" s="19"/>
      <c r="S15" s="73">
        <f t="shared" si="4"/>
        <v>1779117.3675861107</v>
      </c>
      <c r="T15" s="73">
        <f t="shared" si="5"/>
        <v>2078224.1971442658</v>
      </c>
      <c r="V15" s="87">
        <f t="shared" si="1"/>
        <v>-382816.63251236524</v>
      </c>
      <c r="W15" s="87">
        <f t="shared" si="2"/>
        <v>-681923.46207052027</v>
      </c>
    </row>
    <row r="16" spans="1:23" s="6" customFormat="1" ht="15" customHeight="1" x14ac:dyDescent="0.25">
      <c r="A16" s="42">
        <v>1996</v>
      </c>
      <c r="B16" s="43">
        <f>'[1]Capped Flow'!J15</f>
        <v>1073094.6599999997</v>
      </c>
      <c r="C16" s="43">
        <f>'Lewellen_NonIrrigation Season'!C16+'NorthPlatte_NonIRR Season'!E16+'Odessa_NonIrrigation Season'!F16+'GIsland_NonIrrigation Season'!E16+'Duncan_NonIrrigation Season'!E16+'SPlatte_NonIrrigation Season'!F16</f>
        <v>438484.98328158248</v>
      </c>
      <c r="D16" s="155">
        <f>'Lewellen_NonIrrigation Season'!D16+'NorthPlatte_NonIRR Season'!G16+'NorthPlatte_NonIRR Season'!H15:H16+'Odessa_NonIrrigation Season'!H16+'SPlatte_NonIrrigation Season'!G16</f>
        <v>42941.675553005196</v>
      </c>
      <c r="E16" s="43">
        <f>'Lewellen_NonIrrigation Season'!E16+'NorthPlatte_NonIRR Season'!F16+'Odessa_NonIrrigation Season'!G16+'SPlatte_NonIrrigation Season'!E16</f>
        <v>68723.423261498974</v>
      </c>
      <c r="G16" s="72">
        <f t="shared" si="3"/>
        <v>1623244.7420960865</v>
      </c>
      <c r="H16" s="153"/>
      <c r="I16" s="72">
        <f>'Lewellen_NonIrrigation Season'!I16+'NorthPlatte_NonIRR Season'!P16+'NorthPlatte_NonIRR Season'!Q16+'Odessa_NonIrrigation Season'!N16+'SPlatte_NonIrrigation Season'!K16+'Odessa_NonIrrigation Season'!R16+'Odessa_NonIrrigation Season'!Z16</f>
        <v>73952.55489795914</v>
      </c>
      <c r="J16" s="72">
        <f>'NorthPlatte_NonIRR Season'!R16+'Odessa_NonIrrigation Season'!O16+'GIsland_NonIrrigation Season'!L16+'Duncan_NonIrrigation Season'!L16+'SPlatte_NonIrrigation Season'!M16</f>
        <v>16185.890000000003</v>
      </c>
      <c r="K16" s="72">
        <f>MAX('Lewellen_NonIrrigation Season'!J16+'NorthPlatte_NonIRR Season'!S16+'Odessa_NonIrrigation Season'!P16+'GIsland_NonIrrigation Season'!K16+'Duncan_NonIrrigation Season'!K16+'SPlatte_NonIrrigation Season'!L16,C16)</f>
        <v>578929.87189119798</v>
      </c>
      <c r="L16" s="73">
        <f>'Lewellen_NonIrrigation Season'!M16+'NorthPlatte_NonIRR Season'!W16+'Odessa_NonIrrigation Season'!AC16+'SPlatte_NonIrrigation Season'!Q16</f>
        <v>338956.01999730925</v>
      </c>
      <c r="M16" s="73">
        <f>'Lewellen_NonIrrigation Season'!L16+'NorthPlatte_NonIRR Season'!X16+'Odessa_NonIrrigation Season'!AB16+'SPlatte_NonIrrigation Season'!R16</f>
        <v>68723.423261498974</v>
      </c>
      <c r="N16" s="73">
        <f>MAX('Odessa_NonIrrigation Season'!W16,'GIsland_NonIrrigation Season'!N16,'Duncan_NonIrrigation Season'!N16)</f>
        <v>332800.64920465549</v>
      </c>
      <c r="O16" s="73">
        <f>MAX('NorthPlatte_NonIRR Season'!U16+'SPlatte_NonIrrigation Season'!O16,'NorthPlatte_NonIRR Season'!V16+'SPlatte_NonIrrigation Season'!P16,'Odessa_NonIrrigation Season'!T16,'Odessa_NonIrrigation Season'!AA16)</f>
        <v>1027026</v>
      </c>
      <c r="P16" s="73">
        <f>[5]PlatteBWSproportions!$B$12*([2]SWDemand!T22+[2]SWDemand!U22)+MAX([5]PlatteBWSproportions!$B$12*[2]InducedRchrg!$B$10,[5]PlatteBWSproportions!F17,[5]PlatteBWSproportions!J17)</f>
        <v>360737.35709289688</v>
      </c>
      <c r="Q16" s="73">
        <f t="shared" si="0"/>
        <v>1027026</v>
      </c>
      <c r="R16" s="19"/>
      <c r="S16" s="73">
        <f t="shared" si="4"/>
        <v>1963328.8714383498</v>
      </c>
      <c r="T16" s="73">
        <f t="shared" si="5"/>
        <v>2103773.7600479652</v>
      </c>
      <c r="V16" s="87">
        <f t="shared" si="1"/>
        <v>-340084.12934226333</v>
      </c>
      <c r="W16" s="87">
        <f t="shared" si="2"/>
        <v>-480529.01795187872</v>
      </c>
    </row>
    <row r="17" spans="1:23" s="6" customFormat="1" ht="15" customHeight="1" x14ac:dyDescent="0.25">
      <c r="A17" s="42">
        <v>1997</v>
      </c>
      <c r="B17" s="43">
        <f>'[1]Capped Flow'!J16</f>
        <v>1596875.9400000004</v>
      </c>
      <c r="C17" s="43">
        <f>'Lewellen_NonIrrigation Season'!C17+'NorthPlatte_NonIRR Season'!E17+'Odessa_NonIrrigation Season'!F17+'GIsland_NonIrrigation Season'!E17+'Duncan_NonIrrigation Season'!E17+'SPlatte_NonIrrigation Season'!F17</f>
        <v>405748.5952099259</v>
      </c>
      <c r="D17" s="155">
        <f>'Lewellen_NonIrrigation Season'!D17+'NorthPlatte_NonIRR Season'!G17+'NorthPlatte_NonIRR Season'!H16:H17+'Odessa_NonIrrigation Season'!H17+'SPlatte_NonIrrigation Season'!G17</f>
        <v>30985.749169508832</v>
      </c>
      <c r="E17" s="43">
        <f>'Lewellen_NonIrrigation Season'!E17+'NorthPlatte_NonIRR Season'!F17+'Odessa_NonIrrigation Season'!G17+'SPlatte_NonIrrigation Season'!E17</f>
        <v>109745.847222729</v>
      </c>
      <c r="G17" s="72">
        <f t="shared" si="3"/>
        <v>2143356.1316021644</v>
      </c>
      <c r="H17" s="153"/>
      <c r="I17" s="72">
        <f>'Lewellen_NonIrrigation Season'!I17+'NorthPlatte_NonIRR Season'!P17+'NorthPlatte_NonIRR Season'!Q17+'Odessa_NonIrrigation Season'!N17+'SPlatte_NonIrrigation Season'!K17+'Odessa_NonIrrigation Season'!R17+'Odessa_NonIrrigation Season'!Z17</f>
        <v>52516.087871464842</v>
      </c>
      <c r="J17" s="72">
        <f>'NorthPlatte_NonIRR Season'!R17+'Odessa_NonIrrigation Season'!O17+'GIsland_NonIrrigation Season'!L17+'Duncan_NonIrrigation Season'!L17+'SPlatte_NonIrrigation Season'!M17</f>
        <v>16409.400000000001</v>
      </c>
      <c r="K17" s="72">
        <f>MAX('Lewellen_NonIrrigation Season'!J17+'NorthPlatte_NonIRR Season'!S17+'Odessa_NonIrrigation Season'!P17+'GIsland_NonIrrigation Season'!K17+'Duncan_NonIrrigation Season'!K17+'SPlatte_NonIrrigation Season'!L17,C17)</f>
        <v>727539.57522265392</v>
      </c>
      <c r="L17" s="73">
        <f>'Lewellen_NonIrrigation Season'!M17+'NorthPlatte_NonIRR Season'!W17+'Odessa_NonIrrigation Season'!AC17+'SPlatte_NonIrrigation Season'!Q17</f>
        <v>339255.2900011079</v>
      </c>
      <c r="M17" s="73">
        <f>'Lewellen_NonIrrigation Season'!L17+'NorthPlatte_NonIRR Season'!X17+'Odessa_NonIrrigation Season'!AB17+'SPlatte_NonIrrigation Season'!R17</f>
        <v>109745.847222729</v>
      </c>
      <c r="N17" s="73">
        <f>MAX('Odessa_NonIrrigation Season'!W17,'GIsland_NonIrrigation Season'!N17,'Duncan_NonIrrigation Season'!N17)</f>
        <v>241885.81026643363</v>
      </c>
      <c r="O17" s="73">
        <f>MAX('NorthPlatte_NonIRR Season'!U17+'SPlatte_NonIrrigation Season'!O17,'NorthPlatte_NonIRR Season'!V17+'SPlatte_NonIrrigation Season'!P17,'Odessa_NonIrrigation Season'!T17,'Odessa_NonIrrigation Season'!AA17)</f>
        <v>1027026</v>
      </c>
      <c r="P17" s="73">
        <f>[5]PlatteBWSproportions!$B$12*([2]SWDemand!T23+[2]SWDemand!U23)+MAX([5]PlatteBWSproportions!$B$12*[2]InducedRchrg!$B$10,[5]PlatteBWSproportions!F18,[5]PlatteBWSproportions!J18)</f>
        <v>218578.43434091221</v>
      </c>
      <c r="Q17" s="73">
        <f t="shared" si="0"/>
        <v>1027026</v>
      </c>
      <c r="R17" s="19"/>
      <c r="S17" s="73">
        <f t="shared" si="4"/>
        <v>1950701.2203052277</v>
      </c>
      <c r="T17" s="73">
        <f t="shared" si="5"/>
        <v>2272492.2003179556</v>
      </c>
      <c r="V17" s="87">
        <f t="shared" si="1"/>
        <v>192654.91129693668</v>
      </c>
      <c r="W17" s="87">
        <f t="shared" si="2"/>
        <v>-129136.06871579122</v>
      </c>
    </row>
    <row r="18" spans="1:23" s="6" customFormat="1" ht="15" customHeight="1" x14ac:dyDescent="0.25">
      <c r="A18" s="42">
        <v>1998</v>
      </c>
      <c r="B18" s="43">
        <f>'[1]Capped Flow'!J17</f>
        <v>2088721.7999999998</v>
      </c>
      <c r="C18" s="43">
        <f>'Lewellen_NonIrrigation Season'!C18+'NorthPlatte_NonIRR Season'!E18+'Odessa_NonIrrigation Season'!F18+'GIsland_NonIrrigation Season'!E18+'Duncan_NonIrrigation Season'!E18+'SPlatte_NonIrrigation Season'!F18</f>
        <v>418554.42998316628</v>
      </c>
      <c r="D18" s="155">
        <f>'Lewellen_NonIrrigation Season'!D18+'NorthPlatte_NonIRR Season'!G18+'NorthPlatte_NonIRR Season'!H17:H18+'Odessa_NonIrrigation Season'!H18+'SPlatte_NonIrrigation Season'!G18</f>
        <v>40813.428726967351</v>
      </c>
      <c r="E18" s="43">
        <f>'Lewellen_NonIrrigation Season'!E18+'NorthPlatte_NonIRR Season'!F18+'Odessa_NonIrrigation Season'!G18+'SPlatte_NonIrrigation Season'!E18</f>
        <v>82369.082256428941</v>
      </c>
      <c r="G18" s="72">
        <f t="shared" si="3"/>
        <v>2630458.7409665622</v>
      </c>
      <c r="H18" s="153"/>
      <c r="I18" s="72">
        <f>'Lewellen_NonIrrigation Season'!I18+'NorthPlatte_NonIRR Season'!P18+'NorthPlatte_NonIRR Season'!Q18+'Odessa_NonIrrigation Season'!N18+'SPlatte_NonIrrigation Season'!K18+'Odessa_NonIrrigation Season'!R18+'Odessa_NonIrrigation Season'!Z18</f>
        <v>70939.822830699006</v>
      </c>
      <c r="J18" s="72">
        <f>'NorthPlatte_NonIRR Season'!R18+'Odessa_NonIrrigation Season'!O18+'GIsland_NonIrrigation Season'!L18+'Duncan_NonIrrigation Season'!L18+'SPlatte_NonIrrigation Season'!M18</f>
        <v>16859.86</v>
      </c>
      <c r="K18" s="72">
        <f>MAX('Lewellen_NonIrrigation Season'!J18+'NorthPlatte_NonIRR Season'!S18+'Odessa_NonIrrigation Season'!P18+'GIsland_NonIrrigation Season'!K18+'Duncan_NonIrrigation Season'!K18+'SPlatte_NonIrrigation Season'!L18,C18)</f>
        <v>663332.2432587943</v>
      </c>
      <c r="L18" s="73">
        <f>'Lewellen_NonIrrigation Season'!M18+'NorthPlatte_NonIRR Season'!W18+'Odessa_NonIrrigation Season'!AC18+'SPlatte_NonIrrigation Season'!Q18</f>
        <v>357632.3800044877</v>
      </c>
      <c r="M18" s="73">
        <f>'Lewellen_NonIrrigation Season'!L18+'NorthPlatte_NonIRR Season'!X18+'Odessa_NonIrrigation Season'!AB18+'SPlatte_NonIrrigation Season'!R18</f>
        <v>82369.082256428941</v>
      </c>
      <c r="N18" s="73">
        <f>MAX('Odessa_NonIrrigation Season'!W18,'GIsland_NonIrrigation Season'!N18,'Duncan_NonIrrigation Season'!N18)</f>
        <v>256899.74641197402</v>
      </c>
      <c r="O18" s="73">
        <f>MAX('NorthPlatte_NonIRR Season'!U18+'SPlatte_NonIrrigation Season'!O18,'NorthPlatte_NonIRR Season'!V18+'SPlatte_NonIrrigation Season'!P18,'Odessa_NonIrrigation Season'!T18,'Odessa_NonIrrigation Season'!AA18)</f>
        <v>1027026</v>
      </c>
      <c r="P18" s="73">
        <f>[5]PlatteBWSproportions!$B$12*([2]SWDemand!T24+[2]SWDemand!U24)+MAX([5]PlatteBWSproportions!$B$12*[2]InducedRchrg!$B$10,[5]PlatteBWSproportions!F19,[5]PlatteBWSproportions!J19)</f>
        <v>318000.4048978393</v>
      </c>
      <c r="Q18" s="73">
        <f t="shared" si="0"/>
        <v>1027026</v>
      </c>
      <c r="R18" s="19"/>
      <c r="S18" s="73">
        <f t="shared" si="4"/>
        <v>1973381.5750747819</v>
      </c>
      <c r="T18" s="73">
        <f t="shared" si="5"/>
        <v>2218159.3883504099</v>
      </c>
      <c r="V18" s="87">
        <f t="shared" si="1"/>
        <v>657077.16589178029</v>
      </c>
      <c r="W18" s="87">
        <f t="shared" si="2"/>
        <v>412299.35261615226</v>
      </c>
    </row>
    <row r="19" spans="1:23" s="6" customFormat="1" ht="15" customHeight="1" x14ac:dyDescent="0.25">
      <c r="A19" s="42">
        <v>1999</v>
      </c>
      <c r="B19" s="43">
        <f>'[1]Capped Flow'!J18</f>
        <v>1501891.3800000004</v>
      </c>
      <c r="C19" s="43">
        <f>'Lewellen_NonIrrigation Season'!C19+'NorthPlatte_NonIRR Season'!E19+'Odessa_NonIrrigation Season'!F19+'GIsland_NonIrrigation Season'!E19+'Duncan_NonIrrigation Season'!E19+'SPlatte_NonIrrigation Season'!F19</f>
        <v>410913.83391616488</v>
      </c>
      <c r="D19" s="155">
        <f>'Lewellen_NonIrrigation Season'!D19+'NorthPlatte_NonIRR Season'!G19+'NorthPlatte_NonIRR Season'!H18:H19+'Odessa_NonIrrigation Season'!H19+'SPlatte_NonIrrigation Season'!G19</f>
        <v>30998.837888000449</v>
      </c>
      <c r="E19" s="43">
        <f>'Lewellen_NonIrrigation Season'!E19+'NorthPlatte_NonIRR Season'!F19+'Odessa_NonIrrigation Season'!G19+'SPlatte_NonIrrigation Season'!E19</f>
        <v>75867.503068933307</v>
      </c>
      <c r="G19" s="72">
        <f t="shared" si="3"/>
        <v>2019671.5548730991</v>
      </c>
      <c r="H19" s="153"/>
      <c r="I19" s="72">
        <f>'Lewellen_NonIrrigation Season'!I19+'NorthPlatte_NonIRR Season'!P19+'NorthPlatte_NonIRR Season'!Q19+'Odessa_NonIrrigation Season'!N19+'SPlatte_NonIrrigation Season'!K19+'Odessa_NonIrrigation Season'!R19+'Odessa_NonIrrigation Season'!Z19</f>
        <v>47912.526433799248</v>
      </c>
      <c r="J19" s="72">
        <f>'NorthPlatte_NonIRR Season'!R19+'Odessa_NonIrrigation Season'!O19+'GIsland_NonIrrigation Season'!L19+'Duncan_NonIrrigation Season'!L19+'SPlatte_NonIrrigation Season'!M19</f>
        <v>17253.41</v>
      </c>
      <c r="K19" s="72">
        <f>MAX('Lewellen_NonIrrigation Season'!J19+'NorthPlatte_NonIRR Season'!S19+'Odessa_NonIrrigation Season'!P19+'GIsland_NonIrrigation Season'!K19+'Duncan_NonIrrigation Season'!K19+'SPlatte_NonIrrigation Season'!L19,C19)</f>
        <v>649606.77824132727</v>
      </c>
      <c r="L19" s="73">
        <f>'Lewellen_NonIrrigation Season'!M19+'NorthPlatte_NonIRR Season'!W19+'Odessa_NonIrrigation Season'!AC19+'SPlatte_NonIrrigation Season'!Q19</f>
        <v>334754.13999813172</v>
      </c>
      <c r="M19" s="73">
        <f>'Lewellen_NonIrrigation Season'!L19+'NorthPlatte_NonIRR Season'!X19+'Odessa_NonIrrigation Season'!AB19+'SPlatte_NonIrrigation Season'!R19</f>
        <v>75867.503068933307</v>
      </c>
      <c r="N19" s="73">
        <f>MAX('Odessa_NonIrrigation Season'!W19,'GIsland_NonIrrigation Season'!N19,'Duncan_NonIrrigation Season'!N19)</f>
        <v>306914.71319441893</v>
      </c>
      <c r="O19" s="73">
        <f>MAX('NorthPlatte_NonIRR Season'!U19+'SPlatte_NonIrrigation Season'!O19,'NorthPlatte_NonIRR Season'!V19+'SPlatte_NonIrrigation Season'!P19,'Odessa_NonIrrigation Season'!T19,'Odessa_NonIrrigation Season'!AA19)</f>
        <v>1027026</v>
      </c>
      <c r="P19" s="73">
        <f>[5]PlatteBWSproportions!$B$12*([2]SWDemand!T25+[2]SWDemand!U25)+MAX([5]PlatteBWSproportions!$B$12*[2]InducedRchrg!$B$10,[5]PlatteBWSproportions!F20,[5]PlatteBWSproportions!J20)</f>
        <v>323228.46759912843</v>
      </c>
      <c r="Q19" s="73">
        <f t="shared" si="0"/>
        <v>1027026</v>
      </c>
      <c r="R19" s="19"/>
      <c r="S19" s="73">
        <f t="shared" si="4"/>
        <v>1913727.413417029</v>
      </c>
      <c r="T19" s="73">
        <f t="shared" si="5"/>
        <v>2152420.3577421918</v>
      </c>
      <c r="V19" s="87">
        <f t="shared" si="1"/>
        <v>105944.14145607012</v>
      </c>
      <c r="W19" s="87">
        <f t="shared" si="2"/>
        <v>-132748.80286909267</v>
      </c>
    </row>
    <row r="20" spans="1:23" s="6" customFormat="1" ht="15" customHeight="1" x14ac:dyDescent="0.25">
      <c r="A20" s="42">
        <v>2000</v>
      </c>
      <c r="B20" s="43">
        <f>'[1]Capped Flow'!J19</f>
        <v>1615105.8000000003</v>
      </c>
      <c r="C20" s="43">
        <f>'Lewellen_NonIrrigation Season'!C20+'NorthPlatte_NonIRR Season'!E20+'Odessa_NonIrrigation Season'!F20+'GIsland_NonIrrigation Season'!E20+'Duncan_NonIrrigation Season'!E20+'SPlatte_NonIrrigation Season'!F20</f>
        <v>408862.15292763239</v>
      </c>
      <c r="D20" s="155">
        <f>'Lewellen_NonIrrigation Season'!D20+'NorthPlatte_NonIRR Season'!G20+'NorthPlatte_NonIRR Season'!H19:H20+'Odessa_NonIrrigation Season'!H20+'SPlatte_NonIrrigation Season'!G20</f>
        <v>30558.243710526753</v>
      </c>
      <c r="E20" s="43">
        <f>'Lewellen_NonIrrigation Season'!E20+'NorthPlatte_NonIRR Season'!F20+'Odessa_NonIrrigation Season'!G20+'SPlatte_NonIrrigation Season'!E20</f>
        <v>83870.496130627726</v>
      </c>
      <c r="G20" s="72">
        <f t="shared" si="3"/>
        <v>2138396.692768787</v>
      </c>
      <c r="H20" s="153"/>
      <c r="I20" s="72">
        <f>'Lewellen_NonIrrigation Season'!I20+'NorthPlatte_NonIRR Season'!P20+'NorthPlatte_NonIRR Season'!Q20+'Odessa_NonIrrigation Season'!N20+'SPlatte_NonIrrigation Season'!K20+'Odessa_NonIrrigation Season'!R20+'Odessa_NonIrrigation Season'!Z20</f>
        <v>55158.446926299584</v>
      </c>
      <c r="J20" s="72">
        <f>'NorthPlatte_NonIRR Season'!R20+'Odessa_NonIrrigation Season'!O20+'GIsland_NonIrrigation Season'!L20+'Duncan_NonIrrigation Season'!L20+'SPlatte_NonIrrigation Season'!M20</f>
        <v>17456.25</v>
      </c>
      <c r="K20" s="72">
        <f>MAX('Lewellen_NonIrrigation Season'!J20+'NorthPlatte_NonIRR Season'!S20+'Odessa_NonIrrigation Season'!P20+'GIsland_NonIrrigation Season'!K20+'Duncan_NonIrrigation Season'!K20+'SPlatte_NonIrrigation Season'!L20,C20)</f>
        <v>821235.00860832876</v>
      </c>
      <c r="L20" s="73">
        <f>'Lewellen_NonIrrigation Season'!M20+'NorthPlatte_NonIRR Season'!W20+'Odessa_NonIrrigation Season'!AC20+'SPlatte_NonIrrigation Season'!Q20</f>
        <v>295003.34000460588</v>
      </c>
      <c r="M20" s="73">
        <f>'Lewellen_NonIrrigation Season'!L20+'NorthPlatte_NonIRR Season'!X20+'Odessa_NonIrrigation Season'!AB20+'SPlatte_NonIrrigation Season'!R20</f>
        <v>83870.496130627726</v>
      </c>
      <c r="N20" s="73">
        <f>MAX('Odessa_NonIrrigation Season'!W20,'GIsland_NonIrrigation Season'!N20,'Duncan_NonIrrigation Season'!N20)</f>
        <v>139749.46481132478</v>
      </c>
      <c r="O20" s="73">
        <f>MAX('NorthPlatte_NonIRR Season'!U20+'SPlatte_NonIrrigation Season'!O20,'NorthPlatte_NonIRR Season'!V20+'SPlatte_NonIrrigation Season'!P20,'Odessa_NonIrrigation Season'!T20,'Odessa_NonIrrigation Season'!AA20)</f>
        <v>1027026</v>
      </c>
      <c r="P20" s="73">
        <f>[5]PlatteBWSproportions!$B$12*([2]SWDemand!T26+[2]SWDemand!U26)+MAX([5]PlatteBWSproportions!$B$12*[2]InducedRchrg!$B$10,[5]PlatteBWSproportions!F21,[5]PlatteBWSproportions!J21)</f>
        <v>154830.02321416314</v>
      </c>
      <c r="Q20" s="73">
        <f t="shared" si="0"/>
        <v>1027026</v>
      </c>
      <c r="R20" s="19"/>
      <c r="S20" s="73">
        <f t="shared" si="4"/>
        <v>1887376.6859891657</v>
      </c>
      <c r="T20" s="73">
        <f t="shared" si="5"/>
        <v>2299749.5416698619</v>
      </c>
      <c r="V20" s="87">
        <f t="shared" si="1"/>
        <v>251020.00677962136</v>
      </c>
      <c r="W20" s="87">
        <f t="shared" si="2"/>
        <v>-161352.84890107485</v>
      </c>
    </row>
    <row r="21" spans="1:23" s="6" customFormat="1" ht="15" customHeight="1" x14ac:dyDescent="0.25">
      <c r="A21" s="42">
        <v>2001</v>
      </c>
      <c r="B21" s="43">
        <f>'[1]Capped Flow'!J20</f>
        <v>1010936.5200000003</v>
      </c>
      <c r="C21" s="43">
        <f>'Lewellen_NonIrrigation Season'!C21+'NorthPlatte_NonIRR Season'!E21+'Odessa_NonIrrigation Season'!F21+'GIsland_NonIrrigation Season'!E21+'Duncan_NonIrrigation Season'!E21+'SPlatte_NonIrrigation Season'!F21</f>
        <v>468680.05717877217</v>
      </c>
      <c r="D21" s="155">
        <f>'Lewellen_NonIrrigation Season'!D21+'NorthPlatte_NonIRR Season'!G21+'NorthPlatte_NonIRR Season'!H20:H21+'Odessa_NonIrrigation Season'!H21+'SPlatte_NonIrrigation Season'!G21</f>
        <v>25199.476955490933</v>
      </c>
      <c r="E21" s="43">
        <f>'Lewellen_NonIrrigation Season'!E21+'NorthPlatte_NonIRR Season'!F21+'Odessa_NonIrrigation Season'!G21+'SPlatte_NonIrrigation Season'!E21</f>
        <v>59255.481393925271</v>
      </c>
      <c r="G21" s="72">
        <f t="shared" si="3"/>
        <v>1564071.5355281888</v>
      </c>
      <c r="H21" s="153"/>
      <c r="I21" s="72">
        <f>'Lewellen_NonIrrigation Season'!I21+'NorthPlatte_NonIRR Season'!P21+'NorthPlatte_NonIRR Season'!Q21+'Odessa_NonIrrigation Season'!N21+'SPlatte_NonIrrigation Season'!K21+'Odessa_NonIrrigation Season'!R21+'Odessa_NonIrrigation Season'!Z21</f>
        <v>42746.308603879297</v>
      </c>
      <c r="J21" s="72">
        <f>'NorthPlatte_NonIRR Season'!R21+'Odessa_NonIrrigation Season'!O21+'GIsland_NonIrrigation Season'!L21+'Duncan_NonIrrigation Season'!L21+'SPlatte_NonIrrigation Season'!M21</f>
        <v>17637.770000000004</v>
      </c>
      <c r="K21" s="72">
        <f>MAX('Lewellen_NonIrrigation Season'!J21+'NorthPlatte_NonIRR Season'!S21+'Odessa_NonIrrigation Season'!P21+'GIsland_NonIrrigation Season'!K21+'Duncan_NonIrrigation Season'!K21+'SPlatte_NonIrrigation Season'!L21,C21)</f>
        <v>686126.68072374235</v>
      </c>
      <c r="L21" s="73">
        <f>'Lewellen_NonIrrigation Season'!M21+'NorthPlatte_NonIRR Season'!W21+'Odessa_NonIrrigation Season'!AC21+'SPlatte_NonIrrigation Season'!Q21</f>
        <v>231103.95000264197</v>
      </c>
      <c r="M21" s="73">
        <f>'Lewellen_NonIrrigation Season'!L21+'NorthPlatte_NonIRR Season'!X21+'Odessa_NonIrrigation Season'!AB21+'SPlatte_NonIrrigation Season'!R21</f>
        <v>59255.481393925271</v>
      </c>
      <c r="N21" s="73">
        <f>MAX('Odessa_NonIrrigation Season'!W21,'GIsland_NonIrrigation Season'!N21,'Duncan_NonIrrigation Season'!N21)</f>
        <v>233933.37939126528</v>
      </c>
      <c r="O21" s="73">
        <f>MAX('NorthPlatte_NonIRR Season'!U21+'SPlatte_NonIrrigation Season'!O21,'NorthPlatte_NonIRR Season'!V21+'SPlatte_NonIrrigation Season'!P21,'Odessa_NonIrrigation Season'!T21,'Odessa_NonIrrigation Season'!AA21)</f>
        <v>1017508.5645483681</v>
      </c>
      <c r="P21" s="73">
        <f>[5]PlatteBWSproportions!$B$12*([2]SWDemand!T27+[2]SWDemand!U27)+MAX([5]PlatteBWSproportions!$B$12*[2]InducedRchrg!$B$10,[5]PlatteBWSproportions!F22,[5]PlatteBWSproportions!J22)</f>
        <v>216401.22253300366</v>
      </c>
      <c r="Q21" s="73">
        <f t="shared" si="0"/>
        <v>1017508.5645483681</v>
      </c>
      <c r="R21" s="19"/>
      <c r="S21" s="73">
        <f t="shared" si="4"/>
        <v>1836932.131727587</v>
      </c>
      <c r="T21" s="73">
        <f t="shared" si="5"/>
        <v>2054378.755272557</v>
      </c>
      <c r="V21" s="87">
        <f t="shared" si="1"/>
        <v>-272860.59619939816</v>
      </c>
      <c r="W21" s="87">
        <f t="shared" si="2"/>
        <v>-490307.21974436822</v>
      </c>
    </row>
    <row r="22" spans="1:23" s="6" customFormat="1" ht="15" customHeight="1" x14ac:dyDescent="0.25">
      <c r="A22" s="42">
        <v>2002</v>
      </c>
      <c r="B22" s="43">
        <f>'[1]Capped Flow'!J21</f>
        <v>621567.54</v>
      </c>
      <c r="C22" s="43">
        <f>'Lewellen_NonIrrigation Season'!C22+'NorthPlatte_NonIRR Season'!E22+'Odessa_NonIrrigation Season'!F22+'GIsland_NonIrrigation Season'!E22+'Duncan_NonIrrigation Season'!E22+'SPlatte_NonIrrigation Season'!F22</f>
        <v>455257.49097126635</v>
      </c>
      <c r="D22" s="155">
        <f>'Lewellen_NonIrrigation Season'!D22+'NorthPlatte_NonIRR Season'!G22+'NorthPlatte_NonIRR Season'!H21:H22+'Odessa_NonIrrigation Season'!H22+'SPlatte_NonIrrigation Season'!G22</f>
        <v>30075.569092524347</v>
      </c>
      <c r="E22" s="43">
        <f>'Lewellen_NonIrrigation Season'!E22+'NorthPlatte_NonIRR Season'!F22+'Odessa_NonIrrigation Season'!G22+'SPlatte_NonIrrigation Season'!E22</f>
        <v>67079.344114538006</v>
      </c>
      <c r="G22" s="72">
        <f t="shared" si="3"/>
        <v>1173979.9441783286</v>
      </c>
      <c r="H22" s="153"/>
      <c r="I22" s="72">
        <f>'Lewellen_NonIrrigation Season'!I22+'NorthPlatte_NonIRR Season'!P22+'NorthPlatte_NonIRR Season'!Q22+'Odessa_NonIrrigation Season'!N22+'SPlatte_NonIrrigation Season'!K22+'Odessa_NonIrrigation Season'!R22+'Odessa_NonIrrigation Season'!Z22</f>
        <v>73320.444137478466</v>
      </c>
      <c r="J22" s="72">
        <f>'NorthPlatte_NonIRR Season'!R22+'Odessa_NonIrrigation Season'!O22+'GIsland_NonIrrigation Season'!L22+'Duncan_NonIrrigation Season'!L22+'SPlatte_NonIrrigation Season'!M22</f>
        <v>17727.82</v>
      </c>
      <c r="K22" s="72">
        <f>MAX('Lewellen_NonIrrigation Season'!J22+'NorthPlatte_NonIRR Season'!S22+'Odessa_NonIrrigation Season'!P22+'GIsland_NonIrrigation Season'!K22+'Duncan_NonIrrigation Season'!K22+'SPlatte_NonIrrigation Season'!L22,C22)</f>
        <v>1141148.4381478725</v>
      </c>
      <c r="L22" s="73">
        <f>'Lewellen_NonIrrigation Season'!M22+'NorthPlatte_NonIRR Season'!W22+'Odessa_NonIrrigation Season'!AC22+'SPlatte_NonIrrigation Season'!Q22</f>
        <v>199634.53000762491</v>
      </c>
      <c r="M22" s="73">
        <f>'Lewellen_NonIrrigation Season'!L22+'NorthPlatte_NonIRR Season'!X22+'Odessa_NonIrrigation Season'!AB22+'SPlatte_NonIrrigation Season'!R22</f>
        <v>67079.344114538006</v>
      </c>
      <c r="N22" s="73">
        <f>MAX('Odessa_NonIrrigation Season'!W22,'GIsland_NonIrrigation Season'!N22,'Duncan_NonIrrigation Season'!N22)</f>
        <v>75297.256877374311</v>
      </c>
      <c r="O22" s="73">
        <f>MAX('NorthPlatte_NonIRR Season'!U22+'SPlatte_NonIrrigation Season'!O22,'NorthPlatte_NonIRR Season'!V22+'SPlatte_NonIrrigation Season'!P22,'Odessa_NonIrrigation Season'!T22,'Odessa_NonIrrigation Season'!AA22)</f>
        <v>887823.35880390275</v>
      </c>
      <c r="P22" s="73">
        <f>[5]PlatteBWSproportions!$B$12*([2]SWDemand!T28+[2]SWDemand!U28)+MAX([5]PlatteBWSproportions!$B$12*[2]InducedRchrg!$B$10,[5]PlatteBWSproportions!F23,[5]PlatteBWSproportions!J23)</f>
        <v>153812.72428047896</v>
      </c>
      <c r="Q22" s="73">
        <f t="shared" si="0"/>
        <v>887823.35880390275</v>
      </c>
      <c r="R22" s="19"/>
      <c r="S22" s="73">
        <f t="shared" si="4"/>
        <v>1700842.9880348104</v>
      </c>
      <c r="T22" s="73">
        <f t="shared" si="5"/>
        <v>2386733.9352114163</v>
      </c>
      <c r="V22" s="87">
        <f t="shared" si="1"/>
        <v>-526863.04385648179</v>
      </c>
      <c r="W22" s="87">
        <f t="shared" si="2"/>
        <v>-1212753.9910330877</v>
      </c>
    </row>
    <row r="23" spans="1:23" s="6" customFormat="1" ht="15" customHeight="1" x14ac:dyDescent="0.25">
      <c r="A23" s="42">
        <v>2003</v>
      </c>
      <c r="B23" s="43">
        <f>'[1]Capped Flow'!J22</f>
        <v>360972.41399999999</v>
      </c>
      <c r="C23" s="43">
        <f>'Lewellen_NonIrrigation Season'!C23+'NorthPlatte_NonIRR Season'!E23+'Odessa_NonIrrigation Season'!F23+'GIsland_NonIrrigation Season'!E23+'Duncan_NonIrrigation Season'!E23+'SPlatte_NonIrrigation Season'!F23</f>
        <v>538840.08009695797</v>
      </c>
      <c r="D23" s="155">
        <f>'Lewellen_NonIrrigation Season'!D23+'NorthPlatte_NonIRR Season'!G23+'NorthPlatte_NonIRR Season'!H22:H23+'Odessa_NonIrrigation Season'!H23+'SPlatte_NonIrrigation Season'!G23</f>
        <v>16989.225465500003</v>
      </c>
      <c r="E23" s="43">
        <f>'Lewellen_NonIrrigation Season'!E23+'NorthPlatte_NonIRR Season'!F23+'Odessa_NonIrrigation Season'!G23+'SPlatte_NonIrrigation Season'!E23</f>
        <v>47293.678719026393</v>
      </c>
      <c r="G23" s="72">
        <f t="shared" si="3"/>
        <v>964095.39828148438</v>
      </c>
      <c r="H23" s="153"/>
      <c r="I23" s="72">
        <f>'Lewellen_NonIrrigation Season'!I23+'NorthPlatte_NonIRR Season'!P23+'NorthPlatte_NonIRR Season'!Q23+'Odessa_NonIrrigation Season'!N23+'SPlatte_NonIrrigation Season'!K23+'Odessa_NonIrrigation Season'!R23+'Odessa_NonIrrigation Season'!Z23</f>
        <v>40665.932090653238</v>
      </c>
      <c r="J23" s="72">
        <f>'NorthPlatte_NonIRR Season'!R23+'Odessa_NonIrrigation Season'!O23+'GIsland_NonIrrigation Season'!L23+'Duncan_NonIrrigation Season'!L23+'SPlatte_NonIrrigation Season'!M23</f>
        <v>17987.89</v>
      </c>
      <c r="K23" s="72">
        <f>MAX('Lewellen_NonIrrigation Season'!J23+'NorthPlatte_NonIRR Season'!S23+'Odessa_NonIrrigation Season'!P23+'GIsland_NonIrrigation Season'!K23+'Duncan_NonIrrigation Season'!K23+'SPlatte_NonIrrigation Season'!L23,C23)</f>
        <v>951697.8955119442</v>
      </c>
      <c r="L23" s="73">
        <f>'Lewellen_NonIrrigation Season'!M23+'NorthPlatte_NonIRR Season'!W23+'Odessa_NonIrrigation Season'!AC23+'SPlatte_NonIrrigation Season'!Q23</f>
        <v>187306.66000280698</v>
      </c>
      <c r="M23" s="73">
        <f>'Lewellen_NonIrrigation Season'!L23+'NorthPlatte_NonIRR Season'!X23+'Odessa_NonIrrigation Season'!AB23+'SPlatte_NonIrrigation Season'!R23</f>
        <v>47293.678719026393</v>
      </c>
      <c r="N23" s="73">
        <f>MAX('Odessa_NonIrrigation Season'!W23,'GIsland_NonIrrigation Season'!N23,'Duncan_NonIrrigation Season'!N23)</f>
        <v>126110.0159638772</v>
      </c>
      <c r="O23" s="73">
        <f>MAX('NorthPlatte_NonIRR Season'!U23+'SPlatte_NonIrrigation Season'!O23,'NorthPlatte_NonIRR Season'!V23+'SPlatte_NonIrrigation Season'!P23,'Odessa_NonIrrigation Season'!T23,'Odessa_NonIrrigation Season'!AA23)</f>
        <v>666383.13668728212</v>
      </c>
      <c r="P23" s="73">
        <f>[5]PlatteBWSproportions!$B$12*([2]SWDemand!T29+[2]SWDemand!U29)+MAX([5]PlatteBWSproportions!$B$12*[2]InducedRchrg!$B$10,[5]PlatteBWSproportions!F24,[5]PlatteBWSproportions!J24)</f>
        <v>147784.55036736871</v>
      </c>
      <c r="Q23" s="73">
        <f t="shared" si="0"/>
        <v>666383.13668728212</v>
      </c>
      <c r="R23" s="19"/>
      <c r="S23" s="73">
        <f t="shared" si="4"/>
        <v>1498477.3775967269</v>
      </c>
      <c r="T23" s="73">
        <f t="shared" si="5"/>
        <v>1911335.193011713</v>
      </c>
      <c r="V23" s="87">
        <f t="shared" si="1"/>
        <v>-534381.9793152425</v>
      </c>
      <c r="W23" s="87">
        <f t="shared" si="2"/>
        <v>-947239.7947302286</v>
      </c>
    </row>
    <row r="24" spans="1:23" s="6" customFormat="1" ht="15" customHeight="1" x14ac:dyDescent="0.25">
      <c r="A24" s="42">
        <v>2004</v>
      </c>
      <c r="B24" s="43">
        <f>'[1]Capped Flow'!J23</f>
        <v>200334.41999999998</v>
      </c>
      <c r="C24" s="43">
        <f>'Lewellen_NonIrrigation Season'!C24+'NorthPlatte_NonIRR Season'!E24+'Odessa_NonIrrigation Season'!F24+'GIsland_NonIrrigation Season'!E24+'Duncan_NonIrrigation Season'!E24+'SPlatte_NonIrrigation Season'!F24</f>
        <v>555194.66051684611</v>
      </c>
      <c r="D24" s="155">
        <f>'Lewellen_NonIrrigation Season'!D24+'NorthPlatte_NonIRR Season'!G24+'NorthPlatte_NonIRR Season'!H23:H24+'Odessa_NonIrrigation Season'!H24+'SPlatte_NonIrrigation Season'!G24</f>
        <v>23696.105015523695</v>
      </c>
      <c r="E24" s="43">
        <f>'Lewellen_NonIrrigation Season'!E24+'NorthPlatte_NonIRR Season'!F24+'Odessa_NonIrrigation Season'!G24+'SPlatte_NonIrrigation Season'!E24</f>
        <v>56410.717456617378</v>
      </c>
      <c r="G24" s="72">
        <f t="shared" si="3"/>
        <v>835635.90298898728</v>
      </c>
      <c r="H24" s="153"/>
      <c r="I24" s="72">
        <f>'Lewellen_NonIrrigation Season'!I24+'NorthPlatte_NonIRR Season'!P24+'NorthPlatte_NonIRR Season'!Q24+'Odessa_NonIrrigation Season'!N24+'SPlatte_NonIrrigation Season'!K24+'Odessa_NonIrrigation Season'!R24+'Odessa_NonIrrigation Season'!Z24</f>
        <v>62661.071983074718</v>
      </c>
      <c r="J24" s="72">
        <f>'NorthPlatte_NonIRR Season'!R24+'Odessa_NonIrrigation Season'!O24+'GIsland_NonIrrigation Season'!L24+'Duncan_NonIrrigation Season'!L24+'SPlatte_NonIrrigation Season'!M24</f>
        <v>21139.32</v>
      </c>
      <c r="K24" s="72">
        <f>MAX('Lewellen_NonIrrigation Season'!J24+'NorthPlatte_NonIRR Season'!S24+'Odessa_NonIrrigation Season'!P24+'GIsland_NonIrrigation Season'!K24+'Duncan_NonIrrigation Season'!K24+'SPlatte_NonIrrigation Season'!L24,C24)</f>
        <v>800611.91545656906</v>
      </c>
      <c r="L24" s="73">
        <f>'Lewellen_NonIrrigation Season'!M24+'NorthPlatte_NonIRR Season'!W24+'Odessa_NonIrrigation Season'!AC24+'SPlatte_NonIrrigation Season'!Q24</f>
        <v>191718.32000283891</v>
      </c>
      <c r="M24" s="73">
        <f>'Lewellen_NonIrrigation Season'!L24+'NorthPlatte_NonIRR Season'!X24+'Odessa_NonIrrigation Season'!AB24+'SPlatte_NonIrrigation Season'!R24</f>
        <v>56410.717456617378</v>
      </c>
      <c r="N24" s="73">
        <f>MAX('Odessa_NonIrrigation Season'!W24,'GIsland_NonIrrigation Season'!N24,'Duncan_NonIrrigation Season'!N24)</f>
        <v>128603.28248346996</v>
      </c>
      <c r="O24" s="73">
        <f>MAX('NorthPlatte_NonIRR Season'!U24+'SPlatte_NonIrrigation Season'!O24,'NorthPlatte_NonIRR Season'!V24+'SPlatte_NonIrrigation Season'!P24,'Odessa_NonIrrigation Season'!T24,'Odessa_NonIrrigation Season'!AA24)</f>
        <v>621976.90499491035</v>
      </c>
      <c r="P24" s="73">
        <f>[5]PlatteBWSproportions!$B$12*([2]SWDemand!T30+[2]SWDemand!U30)+MAX([5]PlatteBWSproportions!$B$12*[2]InducedRchrg!$B$10,[5]PlatteBWSproportions!F25,[5]PlatteBWSproportions!J25)</f>
        <v>205650.67230770041</v>
      </c>
      <c r="Q24" s="73">
        <f t="shared" si="0"/>
        <v>621976.90499491035</v>
      </c>
      <c r="R24" s="19"/>
      <c r="S24" s="73">
        <f t="shared" si="4"/>
        <v>1509100.9949542875</v>
      </c>
      <c r="T24" s="73">
        <f t="shared" si="5"/>
        <v>1754518.2498940106</v>
      </c>
      <c r="V24" s="87">
        <f t="shared" si="1"/>
        <v>-673465.09196530026</v>
      </c>
      <c r="W24" s="87">
        <f t="shared" si="2"/>
        <v>-918882.34690502333</v>
      </c>
    </row>
    <row r="25" spans="1:23" s="6" customFormat="1" ht="15" customHeight="1" x14ac:dyDescent="0.25">
      <c r="A25" s="42">
        <v>2005</v>
      </c>
      <c r="B25" s="43">
        <f>'[1]Capped Flow'!J24</f>
        <v>377857.71539999999</v>
      </c>
      <c r="C25" s="43">
        <f>'Lewellen_NonIrrigation Season'!C25+'NorthPlatte_NonIRR Season'!E25+'Odessa_NonIrrigation Season'!F25+'GIsland_NonIrrigation Season'!E25+'Duncan_NonIrrigation Season'!E25+'SPlatte_NonIrrigation Season'!F25</f>
        <v>550664.46318481676</v>
      </c>
      <c r="D25" s="155">
        <f>'Lewellen_NonIrrigation Season'!D25+'NorthPlatte_NonIRR Season'!G25+'NorthPlatte_NonIRR Season'!H24:H25+'Odessa_NonIrrigation Season'!H25+'SPlatte_NonIrrigation Season'!G25</f>
        <v>22712.64286799046</v>
      </c>
      <c r="E25" s="43">
        <f>'Lewellen_NonIrrigation Season'!E25+'NorthPlatte_NonIRR Season'!F25+'Odessa_NonIrrigation Season'!G25+'SPlatte_NonIrrigation Season'!E25</f>
        <v>39298.186890238809</v>
      </c>
      <c r="G25" s="72">
        <f t="shared" si="3"/>
        <v>990533.00834304595</v>
      </c>
      <c r="H25" s="153"/>
      <c r="I25" s="72">
        <f>'Lewellen_NonIrrigation Season'!I25+'NorthPlatte_NonIRR Season'!P25+'NorthPlatte_NonIRR Season'!Q25+'Odessa_NonIrrigation Season'!N25+'SPlatte_NonIrrigation Season'!K25+'Odessa_NonIrrigation Season'!R25+'Odessa_NonIrrigation Season'!Z25</f>
        <v>54788.663420027049</v>
      </c>
      <c r="J25" s="72">
        <f>'NorthPlatte_NonIRR Season'!R25+'Odessa_NonIrrigation Season'!O25+'GIsland_NonIrrigation Season'!L25+'Duncan_NonIrrigation Season'!L25+'SPlatte_NonIrrigation Season'!M25</f>
        <v>23153.219999999998</v>
      </c>
      <c r="K25" s="72">
        <f>MAX('Lewellen_NonIrrigation Season'!J25+'NorthPlatte_NonIRR Season'!S25+'Odessa_NonIrrigation Season'!P25+'GIsland_NonIrrigation Season'!K25+'Duncan_NonIrrigation Season'!K25+'SPlatte_NonIrrigation Season'!L25,C25)</f>
        <v>896530.50672621024</v>
      </c>
      <c r="L25" s="73">
        <f>'Lewellen_NonIrrigation Season'!M25+'NorthPlatte_NonIRR Season'!W25+'Odessa_NonIrrigation Season'!AC25+'SPlatte_NonIrrigation Season'!Q25</f>
        <v>184893.90000365989</v>
      </c>
      <c r="M25" s="73">
        <f>'Lewellen_NonIrrigation Season'!L25+'NorthPlatte_NonIRR Season'!X25+'Odessa_NonIrrigation Season'!AB25+'SPlatte_NonIrrigation Season'!R25</f>
        <v>39298.186890238809</v>
      </c>
      <c r="N25" s="73">
        <f>MAX('Odessa_NonIrrigation Season'!W25,'GIsland_NonIrrigation Season'!N25,'Duncan_NonIrrigation Season'!N25)</f>
        <v>162569.52868623313</v>
      </c>
      <c r="O25" s="73">
        <f>MAX('NorthPlatte_NonIRR Season'!U25+'SPlatte_NonIrrigation Season'!O25,'NorthPlatte_NonIRR Season'!V25+'SPlatte_NonIrrigation Season'!P25,'Odessa_NonIrrigation Season'!T25,'Odessa_NonIrrigation Season'!AA25)</f>
        <v>669366.20295466238</v>
      </c>
      <c r="P25" s="73">
        <f>[5]PlatteBWSproportions!$B$12*([2]SWDemand!T31+[2]SWDemand!U31)+MAX([5]PlatteBWSproportions!$B$12*[2]InducedRchrg!$B$10,[5]PlatteBWSproportions!F26,[5]PlatteBWSproportions!J26)</f>
        <v>147042.8563852206</v>
      </c>
      <c r="Q25" s="73">
        <f t="shared" si="0"/>
        <v>669366.20295466238</v>
      </c>
      <c r="R25" s="19"/>
      <c r="S25" s="73">
        <f t="shared" si="4"/>
        <v>1522164.6364534048</v>
      </c>
      <c r="T25" s="73">
        <f t="shared" si="5"/>
        <v>1868030.6799947985</v>
      </c>
      <c r="V25" s="87">
        <f t="shared" si="1"/>
        <v>-531631.62811035884</v>
      </c>
      <c r="W25" s="87">
        <f t="shared" si="2"/>
        <v>-877497.67165175255</v>
      </c>
    </row>
    <row r="26" spans="1:23" s="6" customFormat="1" ht="15" customHeight="1" x14ac:dyDescent="0.25">
      <c r="A26" s="42">
        <v>2006</v>
      </c>
      <c r="B26" s="43">
        <f>'[1]Capped Flow'!J25</f>
        <v>256954.57919999998</v>
      </c>
      <c r="C26" s="43">
        <f>'Lewellen_NonIrrigation Season'!C26+'NorthPlatte_NonIRR Season'!E26+'Odessa_NonIrrigation Season'!F26+'GIsland_NonIrrigation Season'!E26+'Duncan_NonIrrigation Season'!E26+'SPlatte_NonIrrigation Season'!F26</f>
        <v>536073.2178690423</v>
      </c>
      <c r="D26" s="155">
        <f>'Lewellen_NonIrrigation Season'!D26+'NorthPlatte_NonIRR Season'!G26+'NorthPlatte_NonIRR Season'!H25:H26+'Odessa_NonIrrigation Season'!H26+'SPlatte_NonIrrigation Season'!G26</f>
        <v>37986.043493499994</v>
      </c>
      <c r="E26" s="43">
        <f>'Lewellen_NonIrrigation Season'!E26+'NorthPlatte_NonIRR Season'!F26+'Odessa_NonIrrigation Season'!G26+'SPlatte_NonIrrigation Season'!E26</f>
        <v>53552.220606491479</v>
      </c>
      <c r="G26" s="72">
        <f t="shared" si="3"/>
        <v>884566.06116903364</v>
      </c>
      <c r="H26" s="153"/>
      <c r="I26" s="72">
        <f>'Lewellen_NonIrrigation Season'!I26+'NorthPlatte_NonIRR Season'!P26+'NorthPlatte_NonIRR Season'!Q26+'Odessa_NonIrrigation Season'!N26+'SPlatte_NonIrrigation Season'!K26+'Odessa_NonIrrigation Season'!R26+'Odessa_NonIrrigation Season'!Z26</f>
        <v>76720.081436488472</v>
      </c>
      <c r="J26" s="72">
        <f>'NorthPlatte_NonIRR Season'!R26+'Odessa_NonIrrigation Season'!O26+'GIsland_NonIrrigation Season'!L26+'Duncan_NonIrrigation Season'!L26+'SPlatte_NonIrrigation Season'!M26</f>
        <v>23153.219999999998</v>
      </c>
      <c r="K26" s="72">
        <f>MAX('Lewellen_NonIrrigation Season'!J26+'NorthPlatte_NonIRR Season'!S26+'Odessa_NonIrrigation Season'!P26+'GIsland_NonIrrigation Season'!K26+'Duncan_NonIrrigation Season'!K26+'SPlatte_NonIrrigation Season'!L26,C26)</f>
        <v>834103.28739889583</v>
      </c>
      <c r="L26" s="73">
        <f>'Lewellen_NonIrrigation Season'!M26+'NorthPlatte_NonIRR Season'!W26+'Odessa_NonIrrigation Season'!AC26+'SPlatte_NonIrrigation Season'!Q26</f>
        <v>201535.76000430997</v>
      </c>
      <c r="M26" s="73">
        <f>'Lewellen_NonIrrigation Season'!L26+'NorthPlatte_NonIRR Season'!X26+'Odessa_NonIrrigation Season'!AB26+'SPlatte_NonIrrigation Season'!R26</f>
        <v>53552.220606491479</v>
      </c>
      <c r="N26" s="73">
        <f>MAX('Odessa_NonIrrigation Season'!W26,'GIsland_NonIrrigation Season'!N26,'Duncan_NonIrrigation Season'!N26)</f>
        <v>108659.56706083234</v>
      </c>
      <c r="O26" s="73">
        <f>MAX('NorthPlatte_NonIRR Season'!U26+'SPlatte_NonIrrigation Season'!O26,'NorthPlatte_NonIRR Season'!V26+'SPlatte_NonIrrigation Season'!P26,'Odessa_NonIrrigation Season'!T26,'Odessa_NonIrrigation Season'!AA26)</f>
        <v>697664.07011971995</v>
      </c>
      <c r="P26" s="73">
        <f>[5]PlatteBWSproportions!$B$12*([2]SWDemand!T32+[2]SWDemand!U32)+MAX([5]PlatteBWSproportions!$B$12*[2]InducedRchrg!$B$10,[5]PlatteBWSproportions!F27,[5]PlatteBWSproportions!J27)</f>
        <v>150288.14635347022</v>
      </c>
      <c r="Q26" s="73">
        <f t="shared" si="0"/>
        <v>697664.07011971995</v>
      </c>
      <c r="R26" s="19"/>
      <c r="S26" s="73">
        <f t="shared" si="4"/>
        <v>1588698.570036052</v>
      </c>
      <c r="T26" s="73">
        <f t="shared" si="5"/>
        <v>1886728.6395659056</v>
      </c>
      <c r="V26" s="87">
        <f t="shared" si="1"/>
        <v>-704132.50886701839</v>
      </c>
      <c r="W26" s="87">
        <f t="shared" si="2"/>
        <v>-1002162.5783968719</v>
      </c>
    </row>
    <row r="27" spans="1:23" s="6" customFormat="1" ht="15" customHeight="1" x14ac:dyDescent="0.25">
      <c r="A27" s="42">
        <v>2007</v>
      </c>
      <c r="B27" s="43">
        <f>'[1]Capped Flow'!J26</f>
        <v>574027.73999999976</v>
      </c>
      <c r="C27" s="43">
        <f>'Lewellen_NonIrrigation Season'!C27+'NorthPlatte_NonIRR Season'!E27+'Odessa_NonIrrigation Season'!F27+'GIsland_NonIrrigation Season'!E27+'Duncan_NonIrrigation Season'!E27+'SPlatte_NonIrrigation Season'!F27</f>
        <v>541085.19122854888</v>
      </c>
      <c r="D27" s="155">
        <f>'Lewellen_NonIrrigation Season'!D27+'NorthPlatte_NonIRR Season'!G27+'NorthPlatte_NonIRR Season'!H26:H27+'Odessa_NonIrrigation Season'!H27+'SPlatte_NonIrrigation Season'!G27</f>
        <v>13000.989539499999</v>
      </c>
      <c r="E27" s="43">
        <f>'Lewellen_NonIrrigation Season'!E27+'NorthPlatte_NonIRR Season'!F27+'Odessa_NonIrrigation Season'!G27+'SPlatte_NonIrrigation Season'!E27</f>
        <v>34594.51878723038</v>
      </c>
      <c r="G27" s="72">
        <f t="shared" si="3"/>
        <v>1162708.4395552792</v>
      </c>
      <c r="H27" s="153"/>
      <c r="I27" s="72">
        <f>'Lewellen_NonIrrigation Season'!I27+'NorthPlatte_NonIRR Season'!P27+'NorthPlatte_NonIRR Season'!Q27+'Odessa_NonIrrigation Season'!N27+'SPlatte_NonIrrigation Season'!K27+'Odessa_NonIrrigation Season'!R27+'Odessa_NonIrrigation Season'!Z27</f>
        <v>32277.35147647652</v>
      </c>
      <c r="J27" s="72">
        <f>'NorthPlatte_NonIRR Season'!R27+'Odessa_NonIrrigation Season'!O27+'GIsland_NonIrrigation Season'!L27+'Duncan_NonIrrigation Season'!L27+'SPlatte_NonIrrigation Season'!M27</f>
        <v>23153.219999999998</v>
      </c>
      <c r="K27" s="72">
        <f>MAX('Lewellen_NonIrrigation Season'!J27+'NorthPlatte_NonIRR Season'!S27+'Odessa_NonIrrigation Season'!P27+'GIsland_NonIrrigation Season'!K27+'Duncan_NonIrrigation Season'!K27+'SPlatte_NonIrrigation Season'!L27,C27)</f>
        <v>690515.51543706818</v>
      </c>
      <c r="L27" s="73">
        <f>'Lewellen_NonIrrigation Season'!M27+'NorthPlatte_NonIRR Season'!W27+'Odessa_NonIrrigation Season'!AC27+'SPlatte_NonIrrigation Season'!Q27</f>
        <v>193838.91000408196</v>
      </c>
      <c r="M27" s="73">
        <f>'Lewellen_NonIrrigation Season'!L27+'NorthPlatte_NonIRR Season'!X27+'Odessa_NonIrrigation Season'!AB27+'SPlatte_NonIrrigation Season'!R27</f>
        <v>34594.51878723038</v>
      </c>
      <c r="N27" s="73">
        <f>MAX('Odessa_NonIrrigation Season'!W27,'GIsland_NonIrrigation Season'!N27,'Duncan_NonIrrigation Season'!N27)</f>
        <v>219204.96104089185</v>
      </c>
      <c r="O27" s="73">
        <f>MAX('NorthPlatte_NonIRR Season'!U27+'SPlatte_NonIrrigation Season'!O27,'NorthPlatte_NonIRR Season'!V27+'SPlatte_NonIrrigation Season'!P27,'Odessa_NonIrrigation Season'!T27,'Odessa_NonIrrigation Season'!AA27)</f>
        <v>694405.83128420799</v>
      </c>
      <c r="P27" s="73">
        <f>[5]PlatteBWSproportions!$B$12*([2]SWDemand!T33+[2]SWDemand!U33)+MAX([5]PlatteBWSproportions!$B$12*[2]InducedRchrg!$B$10,[5]PlatteBWSproportions!F28,[5]PlatteBWSproportions!J28)</f>
        <v>275269.39305979316</v>
      </c>
      <c r="Q27" s="73">
        <f t="shared" si="0"/>
        <v>694405.83128420799</v>
      </c>
      <c r="R27" s="19"/>
      <c r="S27" s="73">
        <f t="shared" si="4"/>
        <v>1519355.0227805458</v>
      </c>
      <c r="T27" s="73">
        <f t="shared" si="5"/>
        <v>1668785.3469890649</v>
      </c>
      <c r="V27" s="87">
        <f t="shared" si="1"/>
        <v>-356646.58322526654</v>
      </c>
      <c r="W27" s="87">
        <f t="shared" si="2"/>
        <v>-506076.90743378573</v>
      </c>
    </row>
    <row r="28" spans="1:23" s="6" customFormat="1" ht="15" customHeight="1" x14ac:dyDescent="0.25">
      <c r="A28" s="42">
        <v>2008</v>
      </c>
      <c r="B28" s="43">
        <f>'[1]Capped Flow'!J27</f>
        <v>582551.64000000013</v>
      </c>
      <c r="C28" s="43">
        <f>'Lewellen_NonIrrigation Season'!C28+'NorthPlatte_NonIRR Season'!E28+'Odessa_NonIrrigation Season'!F28+'GIsland_NonIrrigation Season'!E28+'Duncan_NonIrrigation Season'!E28+'SPlatte_NonIrrigation Season'!F28</f>
        <v>546624.67732619867</v>
      </c>
      <c r="D28" s="155">
        <f>'Lewellen_NonIrrigation Season'!D28+'NorthPlatte_NonIRR Season'!G28+'NorthPlatte_NonIRR Season'!H27:H28+'Odessa_NonIrrigation Season'!H28+'SPlatte_NonIrrigation Season'!G28</f>
        <v>20008.227828500003</v>
      </c>
      <c r="E28" s="43">
        <f>'Lewellen_NonIrrigation Season'!E28+'NorthPlatte_NonIRR Season'!F28+'Odessa_NonIrrigation Season'!G28+'SPlatte_NonIrrigation Season'!E28</f>
        <v>41672.417850186575</v>
      </c>
      <c r="G28" s="72">
        <f t="shared" si="3"/>
        <v>1190856.9630048855</v>
      </c>
      <c r="H28" s="153"/>
      <c r="I28" s="72">
        <f>'Lewellen_NonIrrigation Season'!I28+'NorthPlatte_NonIRR Season'!P28+'NorthPlatte_NonIRR Season'!Q28+'Odessa_NonIrrigation Season'!N28+'SPlatte_NonIrrigation Season'!K28+'Odessa_NonIrrigation Season'!R28+'Odessa_NonIrrigation Season'!Z28</f>
        <v>41892.492297056742</v>
      </c>
      <c r="J28" s="72">
        <f>'NorthPlatte_NonIRR Season'!R28+'Odessa_NonIrrigation Season'!O28+'GIsland_NonIrrigation Season'!L28+'Duncan_NonIrrigation Season'!L28+'SPlatte_NonIrrigation Season'!M28</f>
        <v>23153.219999999998</v>
      </c>
      <c r="K28" s="72">
        <f>MAX('Lewellen_NonIrrigation Season'!J28+'NorthPlatte_NonIRR Season'!S28+'Odessa_NonIrrigation Season'!P28+'GIsland_NonIrrigation Season'!K28+'Duncan_NonIrrigation Season'!K28+'SPlatte_NonIrrigation Season'!L28,C28)</f>
        <v>1117355.5984034583</v>
      </c>
      <c r="L28" s="73">
        <f>'Lewellen_NonIrrigation Season'!M28+'NorthPlatte_NonIRR Season'!W28+'Odessa_NonIrrigation Season'!AC28+'SPlatte_NonIrrigation Season'!Q28</f>
        <v>203175.90000275392</v>
      </c>
      <c r="M28" s="73">
        <f>'Lewellen_NonIrrigation Season'!L28+'NorthPlatte_NonIRR Season'!X28+'Odessa_NonIrrigation Season'!AB28+'SPlatte_NonIrrigation Season'!R28</f>
        <v>41672.417850186575</v>
      </c>
      <c r="N28" s="73">
        <f>MAX('Odessa_NonIrrigation Season'!W28,'GIsland_NonIrrigation Season'!N28,'Duncan_NonIrrigation Season'!N28)</f>
        <v>211045.84386587393</v>
      </c>
      <c r="O28" s="73">
        <f>MAX('NorthPlatte_NonIRR Season'!U28+'SPlatte_NonIrrigation Season'!O28,'NorthPlatte_NonIRR Season'!V28+'SPlatte_NonIrrigation Season'!P28,'Odessa_NonIrrigation Season'!T28,'Odessa_NonIrrigation Season'!AA28)</f>
        <v>756181.59449227934</v>
      </c>
      <c r="P28" s="73">
        <f>[5]PlatteBWSproportions!$B$12*([2]SWDemand!T34+[2]SWDemand!U34)+MAX([5]PlatteBWSproportions!$B$12*[2]InducedRchrg!$B$10,[5]PlatteBWSproportions!F29,[5]PlatteBWSproportions!J29)</f>
        <v>230287.9788710392</v>
      </c>
      <c r="Q28" s="73">
        <f t="shared" si="0"/>
        <v>756181.59449227934</v>
      </c>
      <c r="R28" s="19"/>
      <c r="S28" s="73">
        <f t="shared" si="4"/>
        <v>1612700.3019684751</v>
      </c>
      <c r="T28" s="73">
        <f t="shared" si="5"/>
        <v>2183431.2230457352</v>
      </c>
      <c r="V28" s="87">
        <f t="shared" si="1"/>
        <v>-421843.33896358963</v>
      </c>
      <c r="W28" s="87">
        <f t="shared" si="2"/>
        <v>-992574.26004084968</v>
      </c>
    </row>
    <row r="29" spans="1:23" s="6" customFormat="1" ht="15" customHeight="1" x14ac:dyDescent="0.25">
      <c r="A29" s="42">
        <v>2009</v>
      </c>
      <c r="B29" s="43">
        <f>'[1]Capped Flow'!J28</f>
        <v>702117.90000000014</v>
      </c>
      <c r="C29" s="43">
        <f>'Lewellen_NonIrrigation Season'!C29+'NorthPlatte_NonIRR Season'!E29+'Odessa_NonIrrigation Season'!F29+'GIsland_NonIrrigation Season'!E29+'Duncan_NonIrrigation Season'!E29+'SPlatte_NonIrrigation Season'!F29</f>
        <v>539728.02217193635</v>
      </c>
      <c r="D29" s="155">
        <f>'Lewellen_NonIrrigation Season'!D29+'NorthPlatte_NonIRR Season'!G29+'NorthPlatte_NonIRR Season'!H28:H29+'Odessa_NonIrrigation Season'!H29+'SPlatte_NonIrrigation Season'!G29</f>
        <v>24527.886520999993</v>
      </c>
      <c r="E29" s="43">
        <f>'Lewellen_NonIrrigation Season'!E29+'NorthPlatte_NonIRR Season'!F29+'Odessa_NonIrrigation Season'!G29+'SPlatte_NonIrrigation Season'!E29</f>
        <v>39681.191753447165</v>
      </c>
      <c r="G29" s="72">
        <f t="shared" si="3"/>
        <v>1306055.0004463834</v>
      </c>
      <c r="H29" s="153"/>
      <c r="I29" s="72">
        <f>'Lewellen_NonIrrigation Season'!I29+'NorthPlatte_NonIRR Season'!P29+'NorthPlatte_NonIRR Season'!Q29+'Odessa_NonIrrigation Season'!N29+'SPlatte_NonIrrigation Season'!K29+'Odessa_NonIrrigation Season'!R29+'Odessa_NonIrrigation Season'!Z29</f>
        <v>44378.847062163666</v>
      </c>
      <c r="J29" s="72">
        <f>'NorthPlatte_NonIRR Season'!R29+'Odessa_NonIrrigation Season'!O29+'GIsland_NonIrrigation Season'!L29+'Duncan_NonIrrigation Season'!L29+'SPlatte_NonIrrigation Season'!M29</f>
        <v>23153.219999999998</v>
      </c>
      <c r="K29" s="72">
        <f>MAX('Lewellen_NonIrrigation Season'!J29+'NorthPlatte_NonIRR Season'!S29+'Odessa_NonIrrigation Season'!P29+'GIsland_NonIrrigation Season'!K29+'Duncan_NonIrrigation Season'!K29+'SPlatte_NonIrrigation Season'!L29,C29)</f>
        <v>1070574.4583509546</v>
      </c>
      <c r="L29" s="73">
        <f>'Lewellen_NonIrrigation Season'!M29+'NorthPlatte_NonIRR Season'!W29+'Odessa_NonIrrigation Season'!AC29+'SPlatte_NonIrrigation Season'!Q29</f>
        <v>233065.35999616078</v>
      </c>
      <c r="M29" s="73">
        <f>'Lewellen_NonIrrigation Season'!L29+'NorthPlatte_NonIRR Season'!X29+'Odessa_NonIrrigation Season'!AB29+'SPlatte_NonIrrigation Season'!R29</f>
        <v>39681.191753447165</v>
      </c>
      <c r="N29" s="73">
        <f>MAX('Odessa_NonIrrigation Season'!W29,'GIsland_NonIrrigation Season'!N29,'Duncan_NonIrrigation Season'!N29)</f>
        <v>264345.7758507824</v>
      </c>
      <c r="O29" s="73">
        <f>MAX('NorthPlatte_NonIRR Season'!U29+'SPlatte_NonIrrigation Season'!O29,'NorthPlatte_NonIRR Season'!V29+'SPlatte_NonIrrigation Season'!P29,'Odessa_NonIrrigation Season'!T29,'Odessa_NonIrrigation Season'!AA29)</f>
        <v>805988.19554795697</v>
      </c>
      <c r="P29" s="73">
        <f>[5]PlatteBWSproportions!$B$12*([2]SWDemand!T35+[2]SWDemand!U35)+MAX([5]PlatteBWSproportions!$B$12*[2]InducedRchrg!$B$10,[5]PlatteBWSproportions!F30,[5]PlatteBWSproportions!J30)</f>
        <v>287161.68058144511</v>
      </c>
      <c r="Q29" s="73">
        <f t="shared" si="0"/>
        <v>805988.19554795697</v>
      </c>
      <c r="R29" s="19"/>
      <c r="S29" s="73">
        <f t="shared" si="4"/>
        <v>1685994.8365316647</v>
      </c>
      <c r="T29" s="73">
        <f t="shared" si="5"/>
        <v>2216841.2727106833</v>
      </c>
      <c r="V29" s="87">
        <f t="shared" si="1"/>
        <v>-379939.83608528133</v>
      </c>
      <c r="W29" s="87">
        <f t="shared" si="2"/>
        <v>-910786.27226429991</v>
      </c>
    </row>
    <row r="30" spans="1:23" s="6" customFormat="1" ht="15" customHeight="1" x14ac:dyDescent="0.25">
      <c r="A30" s="42">
        <v>2010</v>
      </c>
      <c r="B30" s="43">
        <f>'[1]Capped Flow'!J29</f>
        <v>1056955.6799999997</v>
      </c>
      <c r="C30" s="43">
        <f>'Lewellen_NonIrrigation Season'!C30+'NorthPlatte_NonIRR Season'!E30+'Odessa_NonIrrigation Season'!F30+'GIsland_NonIrrigation Season'!E30+'Duncan_NonIrrigation Season'!E30+'SPlatte_NonIrrigation Season'!F30</f>
        <v>509153.70330960851</v>
      </c>
      <c r="D30" s="155">
        <f>'Lewellen_NonIrrigation Season'!D30+'NorthPlatte_NonIRR Season'!G30+'NorthPlatte_NonIRR Season'!H29:H30+'Odessa_NonIrrigation Season'!H30+'SPlatte_NonIrrigation Season'!G30</f>
        <v>23639.061955499998</v>
      </c>
      <c r="E30" s="43">
        <f>'Lewellen_NonIrrigation Season'!E30+'NorthPlatte_NonIRR Season'!F30+'Odessa_NonIrrigation Season'!G30+'SPlatte_NonIrrigation Season'!E30</f>
        <v>36939.418189284377</v>
      </c>
      <c r="G30" s="72">
        <f t="shared" si="3"/>
        <v>1626687.8634543926</v>
      </c>
      <c r="H30" s="153"/>
      <c r="I30" s="72">
        <f>'Lewellen_NonIrrigation Season'!I30+'NorthPlatte_NonIRR Season'!P30+'NorthPlatte_NonIRR Season'!Q30+'Odessa_NonIrrigation Season'!N30+'SPlatte_NonIrrigation Season'!K30+'Odessa_NonIrrigation Season'!R30+'Odessa_NonIrrigation Season'!Z30</f>
        <v>41147.296818155744</v>
      </c>
      <c r="J30" s="72">
        <f>'NorthPlatte_NonIRR Season'!R30+'Odessa_NonIrrigation Season'!O30+'GIsland_NonIrrigation Season'!L30+'Duncan_NonIrrigation Season'!L30+'SPlatte_NonIrrigation Season'!M30</f>
        <v>23153.219999999998</v>
      </c>
      <c r="K30" s="72">
        <f>MAX('Lewellen_NonIrrigation Season'!J30+'NorthPlatte_NonIRR Season'!S30+'Odessa_NonIrrigation Season'!P30+'GIsland_NonIrrigation Season'!K30+'Duncan_NonIrrigation Season'!K30+'SPlatte_NonIrrigation Season'!L30,C30)</f>
        <v>1126540.4468840496</v>
      </c>
      <c r="L30" s="73">
        <f>'Lewellen_NonIrrigation Season'!M30+'NorthPlatte_NonIRR Season'!W30+'Odessa_NonIrrigation Season'!AC30+'SPlatte_NonIrrigation Season'!Q30</f>
        <v>305214.47000021185</v>
      </c>
      <c r="M30" s="73">
        <f>'Lewellen_NonIrrigation Season'!L30+'NorthPlatte_NonIRR Season'!X30+'Odessa_NonIrrigation Season'!AB30+'SPlatte_NonIrrigation Season'!R30</f>
        <v>36939.418189284377</v>
      </c>
      <c r="N30" s="73">
        <f>MAX('Odessa_NonIrrigation Season'!W30,'GIsland_NonIrrigation Season'!N30,'Duncan_NonIrrigation Season'!N30)</f>
        <v>308402.55068873428</v>
      </c>
      <c r="O30" s="73">
        <f>MAX('NorthPlatte_NonIRR Season'!U30+'SPlatte_NonIrrigation Season'!O30,'NorthPlatte_NonIRR Season'!V30+'SPlatte_NonIrrigation Season'!P30,'Odessa_NonIrrigation Season'!T30,'Odessa_NonIrrigation Season'!AA30)</f>
        <v>1027026</v>
      </c>
      <c r="P30" s="73">
        <f>[5]PlatteBWSproportions!$B$12*([2]SWDemand!T36+[2]SWDemand!U36)+MAX([5]PlatteBWSproportions!$B$12*[2]InducedRchrg!$B$10,[5]PlatteBWSproportions!F31,[5]PlatteBWSproportions!J31)</f>
        <v>282891.77174980269</v>
      </c>
      <c r="Q30" s="73">
        <f t="shared" si="0"/>
        <v>1027026</v>
      </c>
      <c r="R30" s="19"/>
      <c r="S30" s="73">
        <f t="shared" si="4"/>
        <v>1942634.1083172604</v>
      </c>
      <c r="T30" s="73">
        <f t="shared" si="5"/>
        <v>2560020.8518917016</v>
      </c>
      <c r="V30" s="87">
        <f t="shared" si="1"/>
        <v>-315946.24486286775</v>
      </c>
      <c r="W30" s="87">
        <f t="shared" si="2"/>
        <v>-933332.98843730893</v>
      </c>
    </row>
    <row r="31" spans="1:23" s="6" customFormat="1" ht="15" customHeight="1" x14ac:dyDescent="0.25">
      <c r="A31" s="42">
        <v>2011</v>
      </c>
      <c r="B31" s="43">
        <f>'[1]Capped Flow'!J30</f>
        <v>1424568.42</v>
      </c>
      <c r="C31" s="43">
        <f>'Lewellen_NonIrrigation Season'!C31+'NorthPlatte_NonIRR Season'!E31+'Odessa_NonIrrigation Season'!F31+'GIsland_NonIrrigation Season'!E31+'Duncan_NonIrrigation Season'!E31+'SPlatte_NonIrrigation Season'!F31</f>
        <v>498900.01731742825</v>
      </c>
      <c r="D31" s="155">
        <f>'Lewellen_NonIrrigation Season'!D31+'NorthPlatte_NonIRR Season'!G31+'NorthPlatte_NonIRR Season'!H30:H31+'Odessa_NonIrrigation Season'!H31+'SPlatte_NonIrrigation Season'!G31</f>
        <v>22027.008160000001</v>
      </c>
      <c r="E31" s="43">
        <f>'Lewellen_NonIrrigation Season'!E31+'NorthPlatte_NonIRR Season'!F31+'Odessa_NonIrrigation Season'!G31+'SPlatte_NonIrrigation Season'!E31</f>
        <v>35992.289835092895</v>
      </c>
      <c r="G31" s="72">
        <f t="shared" si="3"/>
        <v>1981487.735312521</v>
      </c>
      <c r="H31" s="153"/>
      <c r="I31" s="72">
        <f>'Lewellen_NonIrrigation Season'!I31+'NorthPlatte_NonIRR Season'!P31+'NorthPlatte_NonIRR Season'!Q31+'Odessa_NonIrrigation Season'!N31+'SPlatte_NonIrrigation Season'!K31+'Odessa_NonIrrigation Season'!R31+'Odessa_NonIrrigation Season'!Z31</f>
        <v>37469.275570778693</v>
      </c>
      <c r="J31" s="72">
        <f>'NorthPlatte_NonIRR Season'!R31+'Odessa_NonIrrigation Season'!O31+'GIsland_NonIrrigation Season'!L31+'Duncan_NonIrrigation Season'!L31+'SPlatte_NonIrrigation Season'!M31</f>
        <v>23153.219999999998</v>
      </c>
      <c r="K31" s="72">
        <f>MAX('Lewellen_NonIrrigation Season'!J31+'NorthPlatte_NonIRR Season'!S31+'Odessa_NonIrrigation Season'!P31+'GIsland_NonIrrigation Season'!K31+'Duncan_NonIrrigation Season'!K31+'SPlatte_NonIrrigation Season'!L31,C31)</f>
        <v>1151181.7932096701</v>
      </c>
      <c r="L31" s="73">
        <f>'Lewellen_NonIrrigation Season'!M31+'NorthPlatte_NonIRR Season'!W31+'Odessa_NonIrrigation Season'!AC31+'SPlatte_NonIrrigation Season'!Q31</f>
        <v>350435.01000348188</v>
      </c>
      <c r="M31" s="73">
        <f>'Lewellen_NonIrrigation Season'!L31+'NorthPlatte_NonIRR Season'!X31+'Odessa_NonIrrigation Season'!AB31+'SPlatte_NonIrrigation Season'!R31</f>
        <v>35992.289835092895</v>
      </c>
      <c r="N31" s="73">
        <f>MAX('Odessa_NonIrrigation Season'!W31,'GIsland_NonIrrigation Season'!N31,'Duncan_NonIrrigation Season'!N31)</f>
        <v>278359.18214795773</v>
      </c>
      <c r="O31" s="73">
        <f>MAX('NorthPlatte_NonIRR Season'!U31+'SPlatte_NonIrrigation Season'!O31,'NorthPlatte_NonIRR Season'!V31+'SPlatte_NonIrrigation Season'!P31,'Odessa_NonIrrigation Season'!T31,'Odessa_NonIrrigation Season'!AA31)</f>
        <v>1027026</v>
      </c>
      <c r="P31" s="73">
        <f>[5]PlatteBWSproportions!$B$12*([2]SWDemand!T37+[2]SWDemand!U37)+MAX([5]PlatteBWSproportions!$B$12*[2]InducedRchrg!$B$10,[5]PlatteBWSproportions!F32,[5]PlatteBWSproportions!J32)</f>
        <v>323035.0933598617</v>
      </c>
      <c r="Q31" s="73">
        <f t="shared" si="0"/>
        <v>1027026</v>
      </c>
      <c r="R31" s="19"/>
      <c r="S31" s="73">
        <f t="shared" si="4"/>
        <v>1972975.8127267817</v>
      </c>
      <c r="T31" s="73">
        <f t="shared" si="5"/>
        <v>2625257.588619024</v>
      </c>
      <c r="V31" s="87">
        <f t="shared" si="1"/>
        <v>8511.9225857392885</v>
      </c>
      <c r="W31" s="87">
        <f t="shared" si="2"/>
        <v>-643769.85330650304</v>
      </c>
    </row>
    <row r="32" spans="1:23" s="6" customFormat="1" ht="15" customHeight="1" x14ac:dyDescent="0.25">
      <c r="A32" s="42">
        <v>2012</v>
      </c>
      <c r="B32" s="43">
        <f>'[1]Capped Flow'!J31</f>
        <v>2250986.7599999979</v>
      </c>
      <c r="C32" s="43">
        <f>'Lewellen_NonIrrigation Season'!C32+'NorthPlatte_NonIRR Season'!E32+'Odessa_NonIrrigation Season'!F32+'GIsland_NonIrrigation Season'!E32+'Duncan_NonIrrigation Season'!E32+'SPlatte_NonIrrigation Season'!F32</f>
        <v>481244.79269196396</v>
      </c>
      <c r="D32" s="155">
        <f>'Lewellen_NonIrrigation Season'!D32+'NorthPlatte_NonIRR Season'!G32+'NorthPlatte_NonIRR Season'!H31:H32+'Odessa_NonIrrigation Season'!H32+'SPlatte_NonIrrigation Season'!G32</f>
        <v>42312.750576500002</v>
      </c>
      <c r="E32" s="43">
        <f>'Lewellen_NonIrrigation Season'!E32+'NorthPlatte_NonIRR Season'!F32+'Odessa_NonIrrigation Season'!G32+'SPlatte_NonIrrigation Season'!E32</f>
        <v>21039.479594457516</v>
      </c>
      <c r="G32" s="72">
        <f t="shared" si="3"/>
        <v>2795583.7828629189</v>
      </c>
      <c r="H32" s="153"/>
      <c r="I32" s="72">
        <f>'Lewellen_NonIrrigation Season'!I32+'NorthPlatte_NonIRR Season'!P32+'NorthPlatte_NonIRR Season'!Q32+'Odessa_NonIrrigation Season'!N32+'SPlatte_NonIrrigation Season'!K32+'Odessa_NonIrrigation Season'!R32+'Odessa_NonIrrigation Season'!Z32</f>
        <v>84776.530918663455</v>
      </c>
      <c r="J32" s="72">
        <f>'NorthPlatte_NonIRR Season'!R32+'Odessa_NonIrrigation Season'!O32+'GIsland_NonIrrigation Season'!L32+'Duncan_NonIrrigation Season'!L32+'SPlatte_NonIrrigation Season'!M32</f>
        <v>23153.219999999998</v>
      </c>
      <c r="K32" s="72">
        <f>MAX('Lewellen_NonIrrigation Season'!J32+'NorthPlatte_NonIRR Season'!S32+'Odessa_NonIrrigation Season'!P32+'GIsland_NonIrrigation Season'!K32+'Duncan_NonIrrigation Season'!K32+'SPlatte_NonIrrigation Season'!L32,C32)</f>
        <v>1304411.4298543106</v>
      </c>
      <c r="L32" s="73">
        <f>'Lewellen_NonIrrigation Season'!M32+'NorthPlatte_NonIRR Season'!W32+'Odessa_NonIrrigation Season'!AC32+'SPlatte_NonIrrigation Season'!Q32</f>
        <v>257780.61999842589</v>
      </c>
      <c r="M32" s="73">
        <f>'Lewellen_NonIrrigation Season'!L32+'NorthPlatte_NonIRR Season'!X32+'Odessa_NonIrrigation Season'!AB32+'SPlatte_NonIrrigation Season'!R32</f>
        <v>21039.479594457516</v>
      </c>
      <c r="N32" s="73">
        <f>MAX('Odessa_NonIrrigation Season'!W32,'GIsland_NonIrrigation Season'!N32,'Duncan_NonIrrigation Season'!N32)</f>
        <v>201624.63070549048</v>
      </c>
      <c r="O32" s="73">
        <f>MAX('NorthPlatte_NonIRR Season'!U32+'SPlatte_NonIrrigation Season'!O32,'NorthPlatte_NonIRR Season'!V32+'SPlatte_NonIrrigation Season'!P32,'Odessa_NonIrrigation Season'!T32,'Odessa_NonIrrigation Season'!AA32)</f>
        <v>1071356.3279212182</v>
      </c>
      <c r="P32" s="73">
        <f>[5]PlatteBWSproportions!$B$12*([2]SWDemand!T38+[2]SWDemand!U38)+MAX([5]PlatteBWSproportions!$B$12*[2]InducedRchrg!$B$10,[5]PlatteBWSproportions!F33,[5]PlatteBWSproportions!J33)</f>
        <v>134821.27115437976</v>
      </c>
      <c r="Q32" s="73">
        <f t="shared" si="0"/>
        <v>1071356.3279212182</v>
      </c>
      <c r="R32" s="19"/>
      <c r="S32" s="73">
        <f t="shared" si="4"/>
        <v>1939350.9711247289</v>
      </c>
      <c r="T32" s="73">
        <f t="shared" si="5"/>
        <v>2762517.6082870755</v>
      </c>
      <c r="V32" s="87">
        <f t="shared" si="1"/>
        <v>856232.81173819001</v>
      </c>
      <c r="W32" s="87">
        <f t="shared" si="2"/>
        <v>33066.174575843383</v>
      </c>
    </row>
    <row r="33" spans="1:33" ht="15" customHeight="1" x14ac:dyDescent="0.25">
      <c r="B33" s="52"/>
      <c r="G33" s="52"/>
      <c r="H33" s="52"/>
      <c r="I33" s="52"/>
      <c r="J33" s="126"/>
      <c r="R33" s="52"/>
      <c r="AB33" s="128"/>
      <c r="AC33" s="128"/>
      <c r="AD33" s="128"/>
      <c r="AE33" s="128"/>
      <c r="AF33" s="128"/>
      <c r="AG33" s="128"/>
    </row>
    <row r="34" spans="1:33" ht="15" customHeight="1" x14ac:dyDescent="0.25">
      <c r="B34" s="52"/>
      <c r="G34" s="52"/>
      <c r="H34" s="52"/>
      <c r="I34" s="52"/>
      <c r="J34" s="126"/>
      <c r="R34" s="52"/>
      <c r="AB34" s="128"/>
      <c r="AC34" s="128"/>
      <c r="AD34" s="128"/>
      <c r="AE34" s="128"/>
      <c r="AF34" s="128"/>
      <c r="AG34" s="128"/>
    </row>
    <row r="35" spans="1:33" ht="15" customHeight="1" x14ac:dyDescent="0.25">
      <c r="A35" s="52" t="s">
        <v>9</v>
      </c>
      <c r="B35" s="16">
        <f t="shared" ref="B35:W35" si="6">AVERAGE(B8:B32)</f>
        <v>981119.59862399998</v>
      </c>
      <c r="C35" s="16">
        <f t="shared" si="6"/>
        <v>462645.07347800565</v>
      </c>
      <c r="D35" s="16">
        <f t="shared" si="6"/>
        <v>28209.027126083005</v>
      </c>
      <c r="E35" s="16">
        <f t="shared" si="6"/>
        <v>62062.339296675884</v>
      </c>
      <c r="F35" s="16"/>
      <c r="G35" s="16">
        <f t="shared" si="6"/>
        <v>1534036.0385247646</v>
      </c>
      <c r="H35" s="16"/>
      <c r="I35" s="16">
        <f t="shared" si="6"/>
        <v>53728.637829607258</v>
      </c>
      <c r="J35" s="16">
        <f t="shared" si="6"/>
        <v>18578.720799999992</v>
      </c>
      <c r="K35" s="16">
        <f t="shared" si="6"/>
        <v>829076.80778737541</v>
      </c>
      <c r="L35" s="16">
        <f t="shared" si="6"/>
        <v>256399.4800017614</v>
      </c>
      <c r="M35" s="16">
        <f t="shared" si="6"/>
        <v>62062.339296675884</v>
      </c>
      <c r="N35" s="16">
        <f t="shared" si="6"/>
        <v>210553.61451009254</v>
      </c>
      <c r="O35" s="16">
        <f t="shared" si="6"/>
        <v>921647.08791263192</v>
      </c>
      <c r="P35" s="16">
        <f t="shared" si="6"/>
        <v>244479.08833584428</v>
      </c>
      <c r="Q35" s="16">
        <f t="shared" si="6"/>
        <v>921647.08791263192</v>
      </c>
      <c r="R35" s="16"/>
      <c r="S35" s="16">
        <f t="shared" si="6"/>
        <v>1775061.3393186822</v>
      </c>
      <c r="T35" s="16">
        <f t="shared" si="6"/>
        <v>2141493.0736280517</v>
      </c>
      <c r="U35" s="16"/>
      <c r="V35" s="16">
        <f t="shared" si="6"/>
        <v>-241025.30079391759</v>
      </c>
      <c r="W35" s="16">
        <f t="shared" si="6"/>
        <v>-607457.03510328743</v>
      </c>
      <c r="X35" s="16"/>
      <c r="Y35" s="16"/>
      <c r="AA35" s="16"/>
      <c r="AB35" s="128"/>
      <c r="AC35" s="128"/>
      <c r="AD35" s="128"/>
      <c r="AE35" s="128"/>
      <c r="AF35" s="128"/>
      <c r="AG35" s="128"/>
    </row>
    <row r="36" spans="1:33" ht="15" customHeight="1" x14ac:dyDescent="0.25">
      <c r="G36" s="52"/>
      <c r="H36" s="52"/>
      <c r="I36" s="52"/>
      <c r="J36" s="126"/>
      <c r="K36" s="28"/>
      <c r="O36" s="28"/>
      <c r="AB36" s="128"/>
      <c r="AC36" s="128"/>
      <c r="AD36" s="128"/>
      <c r="AE36" s="128"/>
      <c r="AF36" s="128"/>
      <c r="AG36" s="128"/>
    </row>
    <row r="37" spans="1:33" ht="15" customHeight="1" x14ac:dyDescent="0.25">
      <c r="G37" s="52"/>
      <c r="H37" s="52"/>
      <c r="I37" s="28"/>
      <c r="J37" s="28"/>
      <c r="K37" s="28"/>
      <c r="L37" s="28"/>
      <c r="M37" s="28"/>
      <c r="O37" s="28"/>
    </row>
    <row r="38" spans="1:33" x14ac:dyDescent="0.25">
      <c r="A38" s="52" t="s">
        <v>10</v>
      </c>
      <c r="D38" s="52" t="s">
        <v>6</v>
      </c>
      <c r="G38" s="56" t="s">
        <v>7</v>
      </c>
      <c r="H38" s="56"/>
      <c r="J38" s="16" t="s">
        <v>135</v>
      </c>
      <c r="K38" s="161" t="s">
        <v>136</v>
      </c>
    </row>
    <row r="39" spans="1:33" x14ac:dyDescent="0.25">
      <c r="A39" s="26" t="s">
        <v>2</v>
      </c>
      <c r="B39" s="39">
        <f>B35</f>
        <v>981119.59862399998</v>
      </c>
      <c r="D39" s="39" t="s">
        <v>11</v>
      </c>
      <c r="E39" s="39">
        <f>C35</f>
        <v>462645.07347800565</v>
      </c>
      <c r="G39" s="39" t="s">
        <v>12</v>
      </c>
      <c r="H39" s="39">
        <f>K35</f>
        <v>829076.80778737541</v>
      </c>
      <c r="J39" s="161" t="s">
        <v>137</v>
      </c>
      <c r="K39" s="161" t="s">
        <v>138</v>
      </c>
    </row>
    <row r="40" spans="1:33" x14ac:dyDescent="0.25">
      <c r="A40" s="26" t="s">
        <v>11</v>
      </c>
      <c r="B40" s="39">
        <f>C35</f>
        <v>462645.07347800565</v>
      </c>
      <c r="D40" s="39" t="s">
        <v>13</v>
      </c>
      <c r="E40" s="39">
        <f>I35</f>
        <v>53728.637829607258</v>
      </c>
      <c r="G40" s="39" t="s">
        <v>13</v>
      </c>
      <c r="H40" s="39">
        <f>I35</f>
        <v>53728.637829607258</v>
      </c>
      <c r="J40" s="161" t="s">
        <v>139</v>
      </c>
      <c r="K40" s="161" t="s">
        <v>140</v>
      </c>
    </row>
    <row r="41" spans="1:33" x14ac:dyDescent="0.25">
      <c r="A41" s="26" t="s">
        <v>3</v>
      </c>
      <c r="B41" s="39">
        <f>D35</f>
        <v>28209.027126083005</v>
      </c>
      <c r="D41" s="39" t="s">
        <v>95</v>
      </c>
      <c r="E41" s="39">
        <f>J35</f>
        <v>18578.720799999992</v>
      </c>
      <c r="G41" s="39" t="s">
        <v>95</v>
      </c>
      <c r="H41" s="39">
        <f>E41</f>
        <v>18578.720799999992</v>
      </c>
      <c r="J41" s="161" t="s">
        <v>141</v>
      </c>
      <c r="K41" s="161" t="s">
        <v>142</v>
      </c>
    </row>
    <row r="42" spans="1:33" x14ac:dyDescent="0.25">
      <c r="A42" s="26" t="s">
        <v>20</v>
      </c>
      <c r="B42" s="39">
        <f>E35</f>
        <v>62062.339296675884</v>
      </c>
      <c r="D42" s="39" t="s">
        <v>20</v>
      </c>
      <c r="E42" s="39">
        <f>M35</f>
        <v>62062.339296675884</v>
      </c>
      <c r="G42" s="39" t="s">
        <v>20</v>
      </c>
      <c r="H42" s="39">
        <f>E42</f>
        <v>62062.339296675884</v>
      </c>
      <c r="J42" s="161" t="s">
        <v>143</v>
      </c>
      <c r="K42" s="161" t="s">
        <v>144</v>
      </c>
    </row>
    <row r="43" spans="1:33" x14ac:dyDescent="0.25">
      <c r="A43" s="26" t="s">
        <v>22</v>
      </c>
      <c r="B43" s="39">
        <f>SUM(B39:B42)</f>
        <v>1534036.0385247646</v>
      </c>
      <c r="D43" s="39" t="s">
        <v>5</v>
      </c>
      <c r="E43" s="39">
        <f>L35</f>
        <v>256399.4800017614</v>
      </c>
      <c r="G43" s="39" t="s">
        <v>5</v>
      </c>
      <c r="H43" s="39">
        <f>L35</f>
        <v>256399.4800017614</v>
      </c>
      <c r="J43" s="161" t="s">
        <v>5</v>
      </c>
      <c r="K43" s="161" t="s">
        <v>145</v>
      </c>
    </row>
    <row r="44" spans="1:33" x14ac:dyDescent="0.25">
      <c r="D44" s="39" t="s">
        <v>18</v>
      </c>
      <c r="E44" s="39">
        <f>Q35</f>
        <v>921647.08791263192</v>
      </c>
      <c r="G44" s="39" t="s">
        <v>18</v>
      </c>
      <c r="H44" s="39">
        <f>Q35</f>
        <v>921647.08791263192</v>
      </c>
      <c r="J44" s="5" t="s">
        <v>146</v>
      </c>
      <c r="K44" s="161" t="s">
        <v>147</v>
      </c>
    </row>
    <row r="45" spans="1:33" x14ac:dyDescent="0.25">
      <c r="D45" s="78" t="s">
        <v>22</v>
      </c>
      <c r="E45" s="39">
        <f>SUM(E39:E44)</f>
        <v>1775061.339318682</v>
      </c>
      <c r="G45" s="78" t="s">
        <v>22</v>
      </c>
      <c r="H45" s="39">
        <f>SUM(H39:H44)</f>
        <v>2141493.0736280521</v>
      </c>
      <c r="J45" s="5" t="s">
        <v>148</v>
      </c>
      <c r="K45" s="161" t="s">
        <v>149</v>
      </c>
    </row>
    <row r="46" spans="1:33" x14ac:dyDescent="0.25">
      <c r="D46" s="39" t="s">
        <v>42</v>
      </c>
      <c r="E46" s="39">
        <f>B43-E45</f>
        <v>-241025.30079391738</v>
      </c>
      <c r="G46" s="78" t="s">
        <v>42</v>
      </c>
      <c r="H46" s="39">
        <f>B43-H45</f>
        <v>-607457.03510328755</v>
      </c>
      <c r="J46" s="5" t="s">
        <v>150</v>
      </c>
      <c r="K46" s="161" t="s">
        <v>151</v>
      </c>
    </row>
    <row r="47" spans="1:33" x14ac:dyDescent="0.25">
      <c r="E47" s="16"/>
      <c r="J47" s="125" t="s">
        <v>152</v>
      </c>
      <c r="K47" s="125" t="s">
        <v>153</v>
      </c>
    </row>
    <row r="48" spans="1:33" x14ac:dyDescent="0.25">
      <c r="E48" s="16"/>
      <c r="J48" s="125" t="s">
        <v>154</v>
      </c>
      <c r="K48" s="125" t="s">
        <v>155</v>
      </c>
    </row>
    <row r="49" spans="5:5" x14ac:dyDescent="0.25">
      <c r="E49" s="16"/>
    </row>
    <row r="50" spans="5:5" x14ac:dyDescent="0.25">
      <c r="E50" s="16"/>
    </row>
    <row r="51" spans="5:5" x14ac:dyDescent="0.25">
      <c r="E51" s="16"/>
    </row>
    <row r="52" spans="5:5" x14ac:dyDescent="0.25">
      <c r="E52" s="16"/>
    </row>
    <row r="53" spans="5:5" x14ac:dyDescent="0.25">
      <c r="E53" s="16"/>
    </row>
    <row r="54" spans="5:5" x14ac:dyDescent="0.25">
      <c r="E54" s="16"/>
    </row>
    <row r="55" spans="5:5" x14ac:dyDescent="0.25">
      <c r="E55" s="16"/>
    </row>
    <row r="56" spans="5:5" x14ac:dyDescent="0.25">
      <c r="E56" s="16"/>
    </row>
    <row r="57" spans="5:5" x14ac:dyDescent="0.25">
      <c r="E57" s="16"/>
    </row>
    <row r="58" spans="5:5" x14ac:dyDescent="0.25">
      <c r="E58" s="16"/>
    </row>
    <row r="59" spans="5:5" x14ac:dyDescent="0.25">
      <c r="E59" s="16"/>
    </row>
    <row r="60" spans="5:5" x14ac:dyDescent="0.25">
      <c r="E60" s="16"/>
    </row>
  </sheetData>
  <mergeCells count="1">
    <mergeCell ref="A6:A7"/>
  </mergeCells>
  <printOptions gridLines="1"/>
  <pageMargins left="0.7" right="0.7" top="0.75" bottom="0.75" header="0.3" footer="0.3"/>
  <pageSetup scale="20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/>
    <pageSetUpPr fitToPage="1"/>
  </sheetPr>
  <dimension ref="A1:AJ63"/>
  <sheetViews>
    <sheetView showGridLines="0" topLeftCell="A4" zoomScale="70" zoomScaleNormal="70" workbookViewId="0">
      <selection activeCell="A35" sqref="A35"/>
    </sheetView>
  </sheetViews>
  <sheetFormatPr defaultColWidth="9.140625" defaultRowHeight="15" x14ac:dyDescent="0.25"/>
  <cols>
    <col min="1" max="1" width="14" style="6" customWidth="1"/>
    <col min="2" max="2" width="18" style="6" customWidth="1"/>
    <col min="3" max="3" width="29.140625" style="6" bestFit="1" customWidth="1"/>
    <col min="4" max="4" width="29.140625" style="6" customWidth="1"/>
    <col min="5" max="5" width="19.28515625" style="6" bestFit="1" customWidth="1"/>
    <col min="6" max="6" width="14.85546875" style="6" bestFit="1" customWidth="1"/>
    <col min="7" max="7" width="21.42578125" style="52" customWidth="1"/>
    <col min="8" max="8" width="17" style="53" customWidth="1"/>
    <col min="9" max="10" width="33.42578125" style="6" customWidth="1"/>
    <col min="11" max="11" width="33.7109375" style="6" customWidth="1"/>
    <col min="12" max="12" width="22.85546875" style="52" customWidth="1"/>
    <col min="13" max="13" width="22.85546875" style="128" customWidth="1"/>
    <col min="14" max="14" width="22.85546875" style="67" customWidth="1"/>
    <col min="15" max="15" width="22.85546875" style="52" customWidth="1"/>
    <col min="16" max="16" width="22.85546875" style="112" customWidth="1"/>
    <col min="17" max="17" width="22.85546875" style="57" customWidth="1"/>
    <col min="18" max="18" width="22.85546875" style="68" customWidth="1"/>
    <col min="19" max="19" width="9.140625" style="6" customWidth="1"/>
    <col min="20" max="21" width="26.140625" style="6" customWidth="1"/>
    <col min="22" max="22" width="17" style="6" customWidth="1"/>
    <col min="23" max="23" width="19.85546875" style="6" bestFit="1" customWidth="1"/>
    <col min="24" max="24" width="19.5703125" style="6" bestFit="1" customWidth="1"/>
    <col min="25" max="25" width="16.28515625" style="6" bestFit="1" customWidth="1"/>
    <col min="26" max="28" width="15.5703125" style="6" customWidth="1"/>
    <col min="29" max="16384" width="9.140625" style="6"/>
  </cols>
  <sheetData>
    <row r="1" spans="1:36" x14ac:dyDescent="0.25">
      <c r="A1" s="6" t="s">
        <v>108</v>
      </c>
      <c r="B1" s="162">
        <v>43262</v>
      </c>
      <c r="G1" s="161"/>
      <c r="H1" s="127"/>
      <c r="L1" s="161"/>
      <c r="M1" s="161"/>
      <c r="N1" s="161"/>
      <c r="O1" s="161"/>
      <c r="P1" s="161"/>
      <c r="Q1" s="161"/>
      <c r="R1" s="161"/>
    </row>
    <row r="2" spans="1:36" x14ac:dyDescent="0.25">
      <c r="A2" s="6" t="s">
        <v>109</v>
      </c>
      <c r="B2" s="6" t="s">
        <v>110</v>
      </c>
      <c r="G2" s="161"/>
      <c r="H2" s="127"/>
      <c r="L2" s="161"/>
      <c r="M2" s="161"/>
      <c r="N2" s="161"/>
      <c r="O2" s="161"/>
      <c r="P2" s="161"/>
      <c r="Q2" s="161"/>
      <c r="R2" s="161"/>
    </row>
    <row r="3" spans="1:36" x14ac:dyDescent="0.25">
      <c r="A3" s="6" t="s">
        <v>21</v>
      </c>
      <c r="G3" s="20"/>
      <c r="H3" s="20"/>
      <c r="I3" s="30"/>
      <c r="J3" s="30"/>
      <c r="K3" s="30"/>
    </row>
    <row r="4" spans="1:36" x14ac:dyDescent="0.25">
      <c r="A4" s="6" t="s">
        <v>15</v>
      </c>
      <c r="G4" s="21"/>
      <c r="H4" s="22"/>
      <c r="I4" s="22"/>
      <c r="J4" s="22"/>
      <c r="K4" s="22"/>
    </row>
    <row r="5" spans="1:36" s="10" customFormat="1" ht="30" customHeight="1" x14ac:dyDescent="0.25">
      <c r="A5" s="6"/>
      <c r="B5" s="6"/>
      <c r="C5" s="133"/>
      <c r="D5" s="133"/>
      <c r="E5" s="133"/>
      <c r="F5" s="21"/>
      <c r="G5" s="6"/>
      <c r="H5" s="158"/>
      <c r="J5" s="133"/>
      <c r="K5" s="133"/>
      <c r="L5" s="133"/>
      <c r="M5" s="133"/>
      <c r="N5" s="133"/>
      <c r="O5" s="133"/>
      <c r="P5" s="133"/>
      <c r="Q5" s="133"/>
      <c r="R5" s="13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10" customFormat="1" ht="30" x14ac:dyDescent="0.25">
      <c r="A6" s="185" t="s">
        <v>1</v>
      </c>
      <c r="B6" s="163" t="s">
        <v>130</v>
      </c>
      <c r="C6" s="164" t="s">
        <v>3</v>
      </c>
      <c r="D6" s="164" t="s">
        <v>20</v>
      </c>
      <c r="E6" s="164" t="s">
        <v>11</v>
      </c>
      <c r="F6" s="130"/>
      <c r="G6" s="163" t="s">
        <v>56</v>
      </c>
      <c r="H6" s="175"/>
      <c r="I6" s="166" t="s">
        <v>4</v>
      </c>
      <c r="J6" s="166" t="s">
        <v>95</v>
      </c>
      <c r="K6" s="166" t="s">
        <v>12</v>
      </c>
      <c r="L6" s="166" t="s">
        <v>5</v>
      </c>
      <c r="M6" s="166" t="s">
        <v>20</v>
      </c>
      <c r="N6" s="166" t="s">
        <v>85</v>
      </c>
      <c r="O6" s="166" t="s">
        <v>84</v>
      </c>
      <c r="P6" s="166" t="s">
        <v>83</v>
      </c>
      <c r="Q6" s="166" t="s">
        <v>134</v>
      </c>
      <c r="R6" s="173" t="s">
        <v>18</v>
      </c>
      <c r="S6" s="130"/>
      <c r="T6" s="166" t="s">
        <v>6</v>
      </c>
      <c r="U6" s="166" t="s">
        <v>7</v>
      </c>
      <c r="V6" s="130"/>
      <c r="W6" s="166" t="s">
        <v>39</v>
      </c>
      <c r="X6" s="166" t="s">
        <v>40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10" customForma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30"/>
      <c r="G7" s="164" t="s">
        <v>8</v>
      </c>
      <c r="H7" s="175"/>
      <c r="I7" s="164" t="s">
        <v>8</v>
      </c>
      <c r="J7" s="164" t="s">
        <v>96</v>
      </c>
      <c r="K7" s="164" t="s">
        <v>8</v>
      </c>
      <c r="L7" s="164" t="s">
        <v>8</v>
      </c>
      <c r="M7" s="164" t="s">
        <v>8</v>
      </c>
      <c r="N7" s="164" t="s">
        <v>8</v>
      </c>
      <c r="O7" s="164" t="s">
        <v>8</v>
      </c>
      <c r="P7" s="164" t="s">
        <v>8</v>
      </c>
      <c r="Q7" s="164" t="s">
        <v>8</v>
      </c>
      <c r="R7" s="164" t="s">
        <v>8</v>
      </c>
      <c r="S7" s="131"/>
      <c r="T7" s="164" t="s">
        <v>8</v>
      </c>
      <c r="U7" s="164" t="s">
        <v>8</v>
      </c>
      <c r="V7" s="130"/>
      <c r="W7" s="164" t="s">
        <v>8</v>
      </c>
      <c r="X7" s="164" t="s">
        <v>8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25">
      <c r="A8" s="38">
        <v>1988</v>
      </c>
      <c r="B8" s="146">
        <f>'[1]Capped Flow'!V7</f>
        <v>151782.84000000005</v>
      </c>
      <c r="C8" s="43">
        <f>'Lewellen_Irrigation Season'!C8+'NorthPlatte_IRR Season'!F8+'Odessa_Irrigation Season'!F8+'SPlatte_Irrigation Season'!E8</f>
        <v>242611.51925215396</v>
      </c>
      <c r="D8" s="43">
        <f>'Lewellen_Irrigation Season'!D8+'NorthPlatte_IRR Season'!E8+'Odessa_Irrigation Season'!G8+'SPlatte_Irrigation Season'!F8</f>
        <v>66271.878023695492</v>
      </c>
      <c r="E8" s="43">
        <f>'Lewellen_Irrigation Season'!E8+'NorthPlatte_IRR Season'!H8+'Odessa_Irrigation Season'!H8+'GIsland_Irrigation Season'!E8+'Duncan_Irrigation Season'!E8+'SPlatte_Irrigation Season'!G8</f>
        <v>152996.8441343662</v>
      </c>
      <c r="F8" s="21"/>
      <c r="G8" s="159">
        <f t="shared" ref="G8:G32" si="0">B8+C8+D8+E8</f>
        <v>613663.0814102157</v>
      </c>
      <c r="H8" s="81"/>
      <c r="I8" s="146">
        <f>'Lewellen_Irrigation Season'!I8+'NorthPlatte_IRR Season'!P8+'Odessa_Irrigation Season'!N8+'Odessa_Irrigation Season'!R8+'Odessa_Irrigation Season'!Y8+'SPlatte_Irrigation Season'!K8</f>
        <v>438024.24820854701</v>
      </c>
      <c r="J8" s="146">
        <f>'NorthPlatte_IRR Season'!R8+'Odessa_Irrigation Season'!O8+'GIsland_Irrigation Season'!L8+'Duncan_Irrigation Season'!L8+'SPlatte_Irrigation Season'!L8</f>
        <v>8778.18</v>
      </c>
      <c r="K8" s="43">
        <f>MAX('Lewellen_Irrigation Season'!J8+'NorthPlatte_IRR Season'!S8+'Odessa_Irrigation Season'!P8+'GIsland_Irrigation Season'!K8+'Duncan_Irrigation Season'!K8+'SPlatte_Irrigation Season'!M8,E8)</f>
        <v>295553.75580651773</v>
      </c>
      <c r="L8" s="61">
        <f>'Lewellen_Irrigation Season'!M8+'NorthPlatte_IRR Season'!W8+'Odessa_Irrigation Season'!AB8+'SPlatte_Irrigation Season'!Q8</f>
        <v>408035.93999460293</v>
      </c>
      <c r="M8" s="61">
        <f>D8</f>
        <v>66271.878023695492</v>
      </c>
      <c r="N8" s="61">
        <f>MAX('Odessa_Irrigation Season'!W8,'GIsland_Irrigation Season'!N8,'Duncan_Irrigation Season'!N8)</f>
        <v>37941.455048135263</v>
      </c>
      <c r="O8" s="61">
        <f>MAX('NorthPlatte_IRR Season'!U8+'SPlatte_Irrigation Season'!O8,'NorthPlatte_IRR Season'!V8+'SPlatte_Irrigation Season'!P8,'Odessa_Irrigation Season'!T8,'Odessa_Irrigation Season'!AA8)</f>
        <v>248880.49642191004</v>
      </c>
      <c r="P8" s="61">
        <f>[5]PlatteBWSproportions!$C$12*([2]SWDemand!T14+[2]SWDemand!U14)+MAX([5]PlatteBWSproportions!G9,[5]PlatteBWSproportions!K9,[5]PlatteBWSproportions!$C$12*[2]InducedRchrg!$B$11)</f>
        <v>49562.717912722219</v>
      </c>
      <c r="Q8" s="62">
        <f>'NorthPlatte_IRR Season'!AB8</f>
        <v>0</v>
      </c>
      <c r="R8" s="62">
        <f>MAX(N8,O8,P8)</f>
        <v>248880.49642191004</v>
      </c>
      <c r="S8" s="82"/>
      <c r="T8" s="73">
        <f t="shared" ref="T8:T32" si="1">E8+I8+L8+R8-Q8+J8+M8</f>
        <v>1322987.5867831216</v>
      </c>
      <c r="U8" s="73">
        <f t="shared" ref="U8:U32" si="2">K8+I8+L8+R8-Q8+J8+M8</f>
        <v>1465544.4984552732</v>
      </c>
      <c r="W8" s="73">
        <f t="shared" ref="W8:W32" si="3">$G8-T8</f>
        <v>-709324.50537290587</v>
      </c>
      <c r="X8" s="73">
        <f t="shared" ref="X8:X32" si="4">$G8-U8</f>
        <v>-851881.41704505752</v>
      </c>
    </row>
    <row r="9" spans="1:36" x14ac:dyDescent="0.25">
      <c r="A9" s="38">
        <v>1989</v>
      </c>
      <c r="B9" s="146">
        <f>'[1]Capped Flow'!V8</f>
        <v>172798.56</v>
      </c>
      <c r="C9" s="43">
        <f>'Lewellen_Irrigation Season'!C9+'NorthPlatte_IRR Season'!F9+'Odessa_Irrigation Season'!F9+'SPlatte_Irrigation Season'!E9</f>
        <v>241856.68163324706</v>
      </c>
      <c r="D9" s="43">
        <f>'Lewellen_Irrigation Season'!D9+'NorthPlatte_IRR Season'!E9+'Odessa_Irrigation Season'!G9+'SPlatte_Irrigation Season'!F9</f>
        <v>60380.753941622475</v>
      </c>
      <c r="E9" s="43">
        <f>'Lewellen_Irrigation Season'!E9+'NorthPlatte_IRR Season'!H9+'Odessa_Irrigation Season'!H9+'GIsland_Irrigation Season'!E9+'Duncan_Irrigation Season'!E9+'SPlatte_Irrigation Season'!G9</f>
        <v>169039.96486878541</v>
      </c>
      <c r="F9" s="21"/>
      <c r="G9" s="159">
        <f t="shared" si="0"/>
        <v>644075.96044365503</v>
      </c>
      <c r="H9" s="81"/>
      <c r="I9" s="146">
        <f>'Lewellen_Irrigation Season'!I9+'NorthPlatte_IRR Season'!P9+'Odessa_Irrigation Season'!N9+'Odessa_Irrigation Season'!R9+'Odessa_Irrigation Season'!Y9+'SPlatte_Irrigation Season'!K9</f>
        <v>506128.08386764117</v>
      </c>
      <c r="J9" s="146">
        <f>'NorthPlatte_IRR Season'!R9+'Odessa_Irrigation Season'!O9+'GIsland_Irrigation Season'!L9+'Duncan_Irrigation Season'!L9+'SPlatte_Irrigation Season'!L9</f>
        <v>8924.82</v>
      </c>
      <c r="K9" s="43">
        <f>MAX('Lewellen_Irrigation Season'!J9+'NorthPlatte_IRR Season'!S9+'Odessa_Irrigation Season'!P9+'GIsland_Irrigation Season'!K9+'Duncan_Irrigation Season'!K9+'SPlatte_Irrigation Season'!M9,E9)</f>
        <v>320450.38883142523</v>
      </c>
      <c r="L9" s="61">
        <f>'Lewellen_Irrigation Season'!M9+'NorthPlatte_IRR Season'!W9+'Odessa_Irrigation Season'!AB9+'SPlatte_Irrigation Season'!Q9</f>
        <v>390977.42000023299</v>
      </c>
      <c r="M9" s="61">
        <f t="shared" ref="M9:M32" si="5">D9</f>
        <v>60380.753941622475</v>
      </c>
      <c r="N9" s="61">
        <f>MAX('Odessa_Irrigation Season'!W9,'GIsland_Irrigation Season'!N9,'Duncan_Irrigation Season'!N9)</f>
        <v>37638.073928425409</v>
      </c>
      <c r="O9" s="61">
        <f>MAX('NorthPlatte_IRR Season'!U9+'SPlatte_Irrigation Season'!O9,'NorthPlatte_IRR Season'!V9+'SPlatte_Irrigation Season'!P9,'Odessa_Irrigation Season'!T9,'Odessa_Irrigation Season'!AA9)</f>
        <v>165712.31765908012</v>
      </c>
      <c r="P9" s="61">
        <f>[5]PlatteBWSproportions!$C$12*([2]SWDemand!T15+[2]SWDemand!U15)+MAX([5]PlatteBWSproportions!G10,[5]PlatteBWSproportions!K10,[5]PlatteBWSproportions!$C$12*[2]InducedRchrg!$B$11)</f>
        <v>61069.395985766969</v>
      </c>
      <c r="Q9" s="62">
        <f>'NorthPlatte_IRR Season'!AB9</f>
        <v>0</v>
      </c>
      <c r="R9" s="62">
        <f t="shared" ref="R9:R32" si="6">MAX(N9,O9,P9)</f>
        <v>165712.31765908012</v>
      </c>
      <c r="S9" s="82"/>
      <c r="T9" s="73">
        <f t="shared" si="1"/>
        <v>1301163.3603373622</v>
      </c>
      <c r="U9" s="73">
        <f t="shared" si="2"/>
        <v>1452573.784300002</v>
      </c>
      <c r="W9" s="73">
        <f t="shared" si="3"/>
        <v>-657087.39989370713</v>
      </c>
      <c r="X9" s="73">
        <f t="shared" si="4"/>
        <v>-808497.82385634701</v>
      </c>
    </row>
    <row r="10" spans="1:36" x14ac:dyDescent="0.25">
      <c r="A10" s="38">
        <v>1990</v>
      </c>
      <c r="B10" s="146">
        <f>'[1]Capped Flow'!V9</f>
        <v>129771.18000000001</v>
      </c>
      <c r="C10" s="43">
        <f>'Lewellen_Irrigation Season'!C10+'NorthPlatte_IRR Season'!F10+'Odessa_Irrigation Season'!F10+'SPlatte_Irrigation Season'!E10</f>
        <v>243195.1058292407</v>
      </c>
      <c r="D10" s="43">
        <f>'Lewellen_Irrigation Season'!D10+'NorthPlatte_IRR Season'!E10+'Odessa_Irrigation Season'!G10+'SPlatte_Irrigation Season'!F10</f>
        <v>60367.094038449752</v>
      </c>
      <c r="E10" s="43">
        <f>'Lewellen_Irrigation Season'!E10+'NorthPlatte_IRR Season'!H10+'Odessa_Irrigation Season'!H10+'GIsland_Irrigation Season'!E10+'Duncan_Irrigation Season'!E10+'SPlatte_Irrigation Season'!G10</f>
        <v>169057.30951821836</v>
      </c>
      <c r="F10" s="21"/>
      <c r="G10" s="159">
        <f t="shared" si="0"/>
        <v>602390.68938590877</v>
      </c>
      <c r="H10" s="81"/>
      <c r="I10" s="146">
        <f>'Lewellen_Irrigation Season'!I10+'NorthPlatte_IRR Season'!P10+'Odessa_Irrigation Season'!N10+'Odessa_Irrigation Season'!R10+'Odessa_Irrigation Season'!Y10+'SPlatte_Irrigation Season'!K10</f>
        <v>440982.60121744004</v>
      </c>
      <c r="J10" s="146">
        <f>'NorthPlatte_IRR Season'!R10+'Odessa_Irrigation Season'!O10+'GIsland_Irrigation Season'!L10+'Duncan_Irrigation Season'!L10+'SPlatte_Irrigation Season'!L10</f>
        <v>9186.2099999999991</v>
      </c>
      <c r="K10" s="43">
        <f>MAX('Lewellen_Irrigation Season'!J10+'NorthPlatte_IRR Season'!S10+'Odessa_Irrigation Season'!P10+'GIsland_Irrigation Season'!K10+'Duncan_Irrigation Season'!K10+'SPlatte_Irrigation Season'!M10,E10)</f>
        <v>310541.10505982564</v>
      </c>
      <c r="L10" s="61">
        <f>'Lewellen_Irrigation Season'!M10+'NorthPlatte_IRR Season'!W10+'Odessa_Irrigation Season'!AB10+'SPlatte_Irrigation Season'!Q10</f>
        <v>366239.59999856306</v>
      </c>
      <c r="M10" s="61">
        <f t="shared" si="5"/>
        <v>60367.094038449752</v>
      </c>
      <c r="N10" s="61">
        <f>MAX('Odessa_Irrigation Season'!W10,'GIsland_Irrigation Season'!N10,'Duncan_Irrigation Season'!N10)</f>
        <v>8773.4010517626011</v>
      </c>
      <c r="O10" s="61">
        <f>MAX('NorthPlatte_IRR Season'!U10+'SPlatte_Irrigation Season'!O10,'NorthPlatte_IRR Season'!V10+'SPlatte_Irrigation Season'!P10,'Odessa_Irrigation Season'!T10,'Odessa_Irrigation Season'!AA10)</f>
        <v>163980.8779801194</v>
      </c>
      <c r="P10" s="61">
        <f>[5]PlatteBWSproportions!$C$12*([2]SWDemand!T16+[2]SWDemand!U16)+MAX([5]PlatteBWSproportions!G11,[5]PlatteBWSproportions!K11,[5]PlatteBWSproportions!$C$12*[2]InducedRchrg!$B$11)</f>
        <v>63009.597557197267</v>
      </c>
      <c r="Q10" s="62">
        <f>'NorthPlatte_IRR Season'!AB10</f>
        <v>0</v>
      </c>
      <c r="R10" s="62">
        <f t="shared" si="6"/>
        <v>163980.8779801194</v>
      </c>
      <c r="S10" s="82"/>
      <c r="T10" s="73">
        <f t="shared" si="1"/>
        <v>1209813.6927527904</v>
      </c>
      <c r="U10" s="73">
        <f t="shared" si="2"/>
        <v>1351297.4882943977</v>
      </c>
      <c r="W10" s="73">
        <f t="shared" si="3"/>
        <v>-607423.00336688163</v>
      </c>
      <c r="X10" s="73">
        <f t="shared" si="4"/>
        <v>-748906.79890848894</v>
      </c>
    </row>
    <row r="11" spans="1:36" x14ac:dyDescent="0.25">
      <c r="A11" s="38">
        <v>1991</v>
      </c>
      <c r="B11" s="146">
        <f>'[1]Capped Flow'!V10</f>
        <v>177858.80640000009</v>
      </c>
      <c r="C11" s="43">
        <f>'Lewellen_Irrigation Season'!C11+'NorthPlatte_IRR Season'!F11+'Odessa_Irrigation Season'!F11+'SPlatte_Irrigation Season'!E11</f>
        <v>233847.95656299204</v>
      </c>
      <c r="D11" s="43">
        <f>'Lewellen_Irrigation Season'!D11+'NorthPlatte_IRR Season'!E11+'Odessa_Irrigation Season'!G11+'SPlatte_Irrigation Season'!F11</f>
        <v>54066.141502341859</v>
      </c>
      <c r="E11" s="43">
        <f>'Lewellen_Irrigation Season'!E11+'NorthPlatte_IRR Season'!H11+'Odessa_Irrigation Season'!H11+'GIsland_Irrigation Season'!E11+'Duncan_Irrigation Season'!E11+'SPlatte_Irrigation Season'!G11</f>
        <v>168487.63709279365</v>
      </c>
      <c r="F11" s="21"/>
      <c r="G11" s="159">
        <f t="shared" si="0"/>
        <v>634260.54155812762</v>
      </c>
      <c r="H11" s="81"/>
      <c r="I11" s="146">
        <f>'Lewellen_Irrigation Season'!I11+'NorthPlatte_IRR Season'!P11+'Odessa_Irrigation Season'!N11+'Odessa_Irrigation Season'!R11+'Odessa_Irrigation Season'!Y11+'SPlatte_Irrigation Season'!K11</f>
        <v>447068.00756622577</v>
      </c>
      <c r="J11" s="146">
        <f>'NorthPlatte_IRR Season'!R11+'Odessa_Irrigation Season'!O11+'GIsland_Irrigation Season'!L11+'Duncan_Irrigation Season'!L11+'SPlatte_Irrigation Season'!L11</f>
        <v>9279</v>
      </c>
      <c r="K11" s="43">
        <f>MAX('Lewellen_Irrigation Season'!J11+'NorthPlatte_IRR Season'!S11+'Odessa_Irrigation Season'!P11+'GIsland_Irrigation Season'!K11+'Duncan_Irrigation Season'!K11+'SPlatte_Irrigation Season'!M11,E11)</f>
        <v>302355.01120730705</v>
      </c>
      <c r="L11" s="61">
        <f>'Lewellen_Irrigation Season'!M11+'NorthPlatte_IRR Season'!W11+'Odessa_Irrigation Season'!AB11+'SPlatte_Irrigation Season'!Q11</f>
        <v>376672.02000210318</v>
      </c>
      <c r="M11" s="61">
        <f t="shared" si="5"/>
        <v>54066.141502341859</v>
      </c>
      <c r="N11" s="61">
        <f>MAX('Odessa_Irrigation Season'!W11,'GIsland_Irrigation Season'!N11,'Duncan_Irrigation Season'!N11)</f>
        <v>32906.150621867113</v>
      </c>
      <c r="O11" s="61">
        <f>MAX('NorthPlatte_IRR Season'!U11+'SPlatte_Irrigation Season'!O11,'NorthPlatte_IRR Season'!V11+'SPlatte_Irrigation Season'!P11,'Odessa_Irrigation Season'!T11,'Odessa_Irrigation Season'!AA11)</f>
        <v>296632.0289014462</v>
      </c>
      <c r="P11" s="61">
        <f>[5]PlatteBWSproportions!$C$12*([2]SWDemand!T17+[2]SWDemand!U17)+MAX([5]PlatteBWSproportions!G12,[5]PlatteBWSproportions!K12,[5]PlatteBWSproportions!$C$12*[2]InducedRchrg!$B$11)</f>
        <v>51136.936391820331</v>
      </c>
      <c r="Q11" s="62">
        <f>'NorthPlatte_IRR Season'!AB11</f>
        <v>0</v>
      </c>
      <c r="R11" s="62">
        <f t="shared" si="6"/>
        <v>296632.0289014462</v>
      </c>
      <c r="S11" s="82"/>
      <c r="T11" s="73">
        <f t="shared" si="1"/>
        <v>1352204.8350649108</v>
      </c>
      <c r="U11" s="73">
        <f t="shared" si="2"/>
        <v>1486072.209179424</v>
      </c>
      <c r="W11" s="73">
        <f t="shared" si="3"/>
        <v>-717944.2935067832</v>
      </c>
      <c r="X11" s="73">
        <f t="shared" si="4"/>
        <v>-851811.66762129636</v>
      </c>
    </row>
    <row r="12" spans="1:36" x14ac:dyDescent="0.25">
      <c r="A12" s="38">
        <v>1992</v>
      </c>
      <c r="B12" s="146">
        <f>'[1]Capped Flow'!V11</f>
        <v>198617.75999999998</v>
      </c>
      <c r="C12" s="43">
        <f>'Lewellen_Irrigation Season'!C12+'NorthPlatte_IRR Season'!F12+'Odessa_Irrigation Season'!F12+'SPlatte_Irrigation Season'!E12</f>
        <v>183604.34770192957</v>
      </c>
      <c r="D12" s="43">
        <f>'Lewellen_Irrigation Season'!D12+'NorthPlatte_IRR Season'!E12+'Odessa_Irrigation Season'!G12+'SPlatte_Irrigation Season'!F12</f>
        <v>40839.10426802127</v>
      </c>
      <c r="E12" s="43">
        <f>'Lewellen_Irrigation Season'!E12+'NorthPlatte_IRR Season'!H12+'Odessa_Irrigation Season'!H12+'GIsland_Irrigation Season'!E12+'Duncan_Irrigation Season'!E12+'SPlatte_Irrigation Season'!G12</f>
        <v>160207.2924657964</v>
      </c>
      <c r="F12" s="21"/>
      <c r="G12" s="159">
        <f t="shared" si="0"/>
        <v>583268.50443574716</v>
      </c>
      <c r="H12" s="81"/>
      <c r="I12" s="146">
        <f>'Lewellen_Irrigation Season'!I12+'NorthPlatte_IRR Season'!P12+'Odessa_Irrigation Season'!N12+'Odessa_Irrigation Season'!R12+'Odessa_Irrigation Season'!Y12+'SPlatte_Irrigation Season'!K12</f>
        <v>328123.61799993465</v>
      </c>
      <c r="J12" s="146">
        <f>'NorthPlatte_IRR Season'!R12+'Odessa_Irrigation Season'!O12+'GIsland_Irrigation Season'!L12+'Duncan_Irrigation Season'!L12+'SPlatte_Irrigation Season'!L12</f>
        <v>9396.02</v>
      </c>
      <c r="K12" s="43">
        <f>MAX('Lewellen_Irrigation Season'!J12+'NorthPlatte_IRR Season'!S12+'Odessa_Irrigation Season'!P12+'GIsland_Irrigation Season'!K12+'Duncan_Irrigation Season'!K12+'SPlatte_Irrigation Season'!M12,E12)</f>
        <v>275752.8432750965</v>
      </c>
      <c r="L12" s="61">
        <f>'Lewellen_Irrigation Season'!M12+'NorthPlatte_IRR Season'!W12+'Odessa_Irrigation Season'!AB12+'SPlatte_Irrigation Season'!Q12</f>
        <v>357390.22998754517</v>
      </c>
      <c r="M12" s="61">
        <f t="shared" si="5"/>
        <v>40839.10426802127</v>
      </c>
      <c r="N12" s="61">
        <f>MAX('Odessa_Irrigation Season'!W12,'GIsland_Irrigation Season'!N12,'Duncan_Irrigation Season'!N12)</f>
        <v>80645.11020462001</v>
      </c>
      <c r="O12" s="61">
        <f>MAX('NorthPlatte_IRR Season'!U12+'SPlatte_Irrigation Season'!O12,'NorthPlatte_IRR Season'!V12+'SPlatte_Irrigation Season'!P12,'Odessa_Irrigation Season'!T12,'Odessa_Irrigation Season'!AA12)</f>
        <v>253034.84216207528</v>
      </c>
      <c r="P12" s="61">
        <f>[5]PlatteBWSproportions!$C$12*([2]SWDemand!T18+[2]SWDemand!U18)+MAX([5]PlatteBWSproportions!G13,[5]PlatteBWSproportions!K13,[5]PlatteBWSproportions!$C$12*[2]InducedRchrg!$B$11)</f>
        <v>106762.41479946247</v>
      </c>
      <c r="Q12" s="62">
        <f>'NorthPlatte_IRR Season'!AB12</f>
        <v>113300</v>
      </c>
      <c r="R12" s="62">
        <f t="shared" si="6"/>
        <v>253034.84216207528</v>
      </c>
      <c r="S12" s="82"/>
      <c r="T12" s="73">
        <f t="shared" si="1"/>
        <v>1035691.1068833728</v>
      </c>
      <c r="U12" s="73">
        <f t="shared" si="2"/>
        <v>1151236.6576926727</v>
      </c>
      <c r="W12" s="73">
        <f t="shared" si="3"/>
        <v>-452422.6024476256</v>
      </c>
      <c r="X12" s="73">
        <f t="shared" si="4"/>
        <v>-567968.15325692552</v>
      </c>
    </row>
    <row r="13" spans="1:36" x14ac:dyDescent="0.25">
      <c r="A13" s="38">
        <v>1993</v>
      </c>
      <c r="B13" s="146">
        <f>'[1]Capped Flow'!V12</f>
        <v>552124.9800000001</v>
      </c>
      <c r="C13" s="43">
        <f>'Lewellen_Irrigation Season'!C13+'NorthPlatte_IRR Season'!F13+'Odessa_Irrigation Season'!F13+'SPlatte_Irrigation Season'!E13</f>
        <v>123414.94051630591</v>
      </c>
      <c r="D13" s="43">
        <f>'Lewellen_Irrigation Season'!D13+'NorthPlatte_IRR Season'!E13+'Odessa_Irrigation Season'!G13+'SPlatte_Irrigation Season'!F13</f>
        <v>39662.195306746355</v>
      </c>
      <c r="E13" s="43">
        <f>'Lewellen_Irrigation Season'!E13+'NorthPlatte_IRR Season'!H13+'Odessa_Irrigation Season'!H13+'GIsland_Irrigation Season'!E13+'Duncan_Irrigation Season'!E13+'SPlatte_Irrigation Season'!G13</f>
        <v>166158.71640709581</v>
      </c>
      <c r="F13" s="21"/>
      <c r="G13" s="159">
        <f t="shared" si="0"/>
        <v>881360.83223014825</v>
      </c>
      <c r="H13" s="81"/>
      <c r="I13" s="146">
        <f>'Lewellen_Irrigation Season'!I13+'NorthPlatte_IRR Season'!P13+'Odessa_Irrigation Season'!N13+'Odessa_Irrigation Season'!R13+'Odessa_Irrigation Season'!Y13+'SPlatte_Irrigation Season'!K13</f>
        <v>207115.08695626591</v>
      </c>
      <c r="J13" s="146">
        <f>'NorthPlatte_IRR Season'!R13+'Odessa_Irrigation Season'!O13+'GIsland_Irrigation Season'!L13+'Duncan_Irrigation Season'!L13+'SPlatte_Irrigation Season'!L13</f>
        <v>9506.5500000000011</v>
      </c>
      <c r="K13" s="43">
        <f>MAX('Lewellen_Irrigation Season'!J13+'NorthPlatte_IRR Season'!S13+'Odessa_Irrigation Season'!P13+'GIsland_Irrigation Season'!K13+'Duncan_Irrigation Season'!K13+'SPlatte_Irrigation Season'!M13,E13)</f>
        <v>215196.49783120281</v>
      </c>
      <c r="L13" s="61">
        <f>'Lewellen_Irrigation Season'!M13+'NorthPlatte_IRR Season'!W13+'Odessa_Irrigation Season'!AB13+'SPlatte_Irrigation Season'!Q13</f>
        <v>353443.45998975314</v>
      </c>
      <c r="M13" s="61">
        <f t="shared" si="5"/>
        <v>39662.195306746355</v>
      </c>
      <c r="N13" s="61">
        <f>MAX('Odessa_Irrigation Season'!W13,'GIsland_Irrigation Season'!N13,'Duncan_Irrigation Season'!N13)</f>
        <v>115037.52377280616</v>
      </c>
      <c r="O13" s="61">
        <f>MAX('NorthPlatte_IRR Season'!U13+'SPlatte_Irrigation Season'!O13,'NorthPlatte_IRR Season'!V13+'SPlatte_Irrigation Season'!P13,'Odessa_Irrigation Season'!T13,'Odessa_Irrigation Season'!AA13)</f>
        <v>281996.21173009649</v>
      </c>
      <c r="P13" s="61">
        <f>[5]PlatteBWSproportions!$C$12*([2]SWDemand!T19+[2]SWDemand!U19)+MAX([5]PlatteBWSproportions!G14,[5]PlatteBWSproportions!K14,[5]PlatteBWSproportions!$C$12*[2]InducedRchrg!$B$11)</f>
        <v>112630.82550997351</v>
      </c>
      <c r="Q13" s="62">
        <f>'NorthPlatte_IRR Season'!AB13</f>
        <v>330200</v>
      </c>
      <c r="R13" s="62">
        <f t="shared" si="6"/>
        <v>281996.21173009649</v>
      </c>
      <c r="S13" s="82"/>
      <c r="T13" s="73">
        <f t="shared" si="1"/>
        <v>727682.22038995789</v>
      </c>
      <c r="U13" s="73">
        <f t="shared" si="2"/>
        <v>776720.00181406492</v>
      </c>
      <c r="W13" s="73">
        <f t="shared" si="3"/>
        <v>153678.61184019037</v>
      </c>
      <c r="X13" s="73">
        <f t="shared" si="4"/>
        <v>104640.83041608334</v>
      </c>
    </row>
    <row r="14" spans="1:36" x14ac:dyDescent="0.25">
      <c r="A14" s="38">
        <v>1994</v>
      </c>
      <c r="B14" s="146">
        <f>'[1]Capped Flow'!V13</f>
        <v>188531.63999999996</v>
      </c>
      <c r="C14" s="43">
        <f>'Lewellen_Irrigation Season'!C14+'NorthPlatte_IRR Season'!F14+'Odessa_Irrigation Season'!F14+'SPlatte_Irrigation Season'!E14</f>
        <v>223340.42819784628</v>
      </c>
      <c r="D14" s="43">
        <f>'Lewellen_Irrigation Season'!D14+'NorthPlatte_IRR Season'!E14+'Odessa_Irrigation Season'!G14+'SPlatte_Irrigation Season'!F14</f>
        <v>54838.922275462406</v>
      </c>
      <c r="E14" s="43">
        <f>'Lewellen_Irrigation Season'!E14+'NorthPlatte_IRR Season'!H14+'Odessa_Irrigation Season'!H14+'GIsland_Irrigation Season'!E14+'Duncan_Irrigation Season'!E14+'SPlatte_Irrigation Season'!G14</f>
        <v>169321.67051462634</v>
      </c>
      <c r="F14" s="21"/>
      <c r="G14" s="159">
        <f t="shared" si="0"/>
        <v>636032.66098793503</v>
      </c>
      <c r="H14" s="81"/>
      <c r="I14" s="146">
        <f>'Lewellen_Irrigation Season'!I14+'NorthPlatte_IRR Season'!P14+'Odessa_Irrigation Season'!N14+'Odessa_Irrigation Season'!R14+'Odessa_Irrigation Season'!Y14+'SPlatte_Irrigation Season'!K14</f>
        <v>399936.54433248017</v>
      </c>
      <c r="J14" s="146">
        <f>'NorthPlatte_IRR Season'!R14+'Odessa_Irrigation Season'!O14+'GIsland_Irrigation Season'!L14+'Duncan_Irrigation Season'!L14+'SPlatte_Irrigation Season'!L14</f>
        <v>9567.369999999999</v>
      </c>
      <c r="K14" s="43">
        <f>MAX('Lewellen_Irrigation Season'!J14+'NorthPlatte_IRR Season'!S14+'Odessa_Irrigation Season'!P14+'GIsland_Irrigation Season'!K14+'Duncan_Irrigation Season'!K14+'SPlatte_Irrigation Season'!M14,E14)</f>
        <v>304503.02475215099</v>
      </c>
      <c r="L14" s="61">
        <f>'Lewellen_Irrigation Season'!M14+'NorthPlatte_IRR Season'!W14+'Odessa_Irrigation Season'!AB14+'SPlatte_Irrigation Season'!Q14</f>
        <v>395232.18000215315</v>
      </c>
      <c r="M14" s="61">
        <f t="shared" si="5"/>
        <v>54838.922275462406</v>
      </c>
      <c r="N14" s="61">
        <f>MAX('Odessa_Irrigation Season'!W14,'GIsland_Irrigation Season'!N14,'Duncan_Irrigation Season'!N14)</f>
        <v>64211.833076101306</v>
      </c>
      <c r="O14" s="61">
        <f>MAX('NorthPlatte_IRR Season'!U14+'SPlatte_Irrigation Season'!O14,'NorthPlatte_IRR Season'!V14+'SPlatte_Irrigation Season'!P14,'Odessa_Irrigation Season'!T14,'Odessa_Irrigation Season'!AA14)</f>
        <v>230830.02473859049</v>
      </c>
      <c r="P14" s="61">
        <f>[5]PlatteBWSproportions!$C$12*([2]SWDemand!T20+[2]SWDemand!U20)+MAX([5]PlatteBWSproportions!G15,[5]PlatteBWSproportions!K15,[5]PlatteBWSproportions!$C$12*[2]InducedRchrg!$B$11)</f>
        <v>80104.921304298303</v>
      </c>
      <c r="Q14" s="62">
        <f>'NorthPlatte_IRR Season'!AB14</f>
        <v>0</v>
      </c>
      <c r="R14" s="62">
        <f t="shared" si="6"/>
        <v>230830.02473859049</v>
      </c>
      <c r="S14" s="82"/>
      <c r="T14" s="73">
        <f t="shared" si="1"/>
        <v>1259726.7118633126</v>
      </c>
      <c r="U14" s="73">
        <f t="shared" si="2"/>
        <v>1394908.0661008372</v>
      </c>
      <c r="W14" s="73">
        <f t="shared" si="3"/>
        <v>-623694.05087537761</v>
      </c>
      <c r="X14" s="73">
        <f t="shared" si="4"/>
        <v>-758875.40511290217</v>
      </c>
    </row>
    <row r="15" spans="1:36" x14ac:dyDescent="0.25">
      <c r="A15" s="38">
        <v>1995</v>
      </c>
      <c r="B15" s="146">
        <f>'[1]Capped Flow'!V14</f>
        <v>754609.67999999935</v>
      </c>
      <c r="C15" s="43">
        <f>'Lewellen_Irrigation Season'!C15+'NorthPlatte_IRR Season'!F15+'Odessa_Irrigation Season'!F15+'SPlatte_Irrigation Season'!E15</f>
        <v>221837.27212018447</v>
      </c>
      <c r="D15" s="43">
        <f>'Lewellen_Irrigation Season'!D15+'NorthPlatte_IRR Season'!E15+'Odessa_Irrigation Season'!G15+'SPlatte_Irrigation Season'!F15</f>
        <v>52765.641421199929</v>
      </c>
      <c r="E15" s="43">
        <f>'Lewellen_Irrigation Season'!E15+'NorthPlatte_IRR Season'!H15+'Odessa_Irrigation Season'!H15+'GIsland_Irrigation Season'!E15+'Duncan_Irrigation Season'!E15+'SPlatte_Irrigation Season'!G15</f>
        <v>168936.3969846002</v>
      </c>
      <c r="F15" s="21"/>
      <c r="G15" s="159">
        <f t="shared" si="0"/>
        <v>1198148.990525984</v>
      </c>
      <c r="H15" s="81"/>
      <c r="I15" s="146">
        <f>'Lewellen_Irrigation Season'!I15+'NorthPlatte_IRR Season'!P15+'Odessa_Irrigation Season'!N15+'Odessa_Irrigation Season'!R15+'Odessa_Irrigation Season'!Y15+'SPlatte_Irrigation Season'!K15</f>
        <v>400000.93402891874</v>
      </c>
      <c r="J15" s="146">
        <f>'NorthPlatte_IRR Season'!R15+'Odessa_Irrigation Season'!O15+'GIsland_Irrigation Season'!L15+'Duncan_Irrigation Season'!L15+'SPlatte_Irrigation Season'!L15</f>
        <v>9753.1799999999985</v>
      </c>
      <c r="K15" s="43">
        <f>MAX('Lewellen_Irrigation Season'!J15+'NorthPlatte_IRR Season'!S15+'Odessa_Irrigation Season'!P15+'GIsland_Irrigation Season'!K15+'Duncan_Irrigation Season'!K15+'SPlatte_Irrigation Season'!M15,E15)</f>
        <v>301147.8479976558</v>
      </c>
      <c r="L15" s="61">
        <f>'Lewellen_Irrigation Season'!M15+'NorthPlatte_IRR Season'!W15+'Odessa_Irrigation Season'!AB15+'SPlatte_Irrigation Season'!Q15</f>
        <v>386126.07000243332</v>
      </c>
      <c r="M15" s="61">
        <f t="shared" si="5"/>
        <v>52765.641421199929</v>
      </c>
      <c r="N15" s="61">
        <f>MAX('Odessa_Irrigation Season'!W15,'GIsland_Irrigation Season'!N15,'Duncan_Irrigation Season'!N15)</f>
        <v>67836.380563272018</v>
      </c>
      <c r="O15" s="61">
        <f>MAX('NorthPlatte_IRR Season'!U15+'SPlatte_Irrigation Season'!O15,'NorthPlatte_IRR Season'!V15+'SPlatte_Irrigation Season'!P15,'Odessa_Irrigation Season'!T15,'Odessa_Irrigation Season'!AA15)</f>
        <v>346104</v>
      </c>
      <c r="P15" s="61">
        <f>[5]PlatteBWSproportions!$C$12*([2]SWDemand!T21+[2]SWDemand!U21)+MAX([5]PlatteBWSproportions!G16,[5]PlatteBWSproportions!K16,[5]PlatteBWSproportions!$C$12*[2]InducedRchrg!$B$11)</f>
        <v>52301.711072347127</v>
      </c>
      <c r="Q15" s="62">
        <f>'NorthPlatte_IRR Season'!AB15</f>
        <v>282500</v>
      </c>
      <c r="R15" s="62">
        <f t="shared" si="6"/>
        <v>346104</v>
      </c>
      <c r="S15" s="82"/>
      <c r="T15" s="73">
        <f t="shared" si="1"/>
        <v>1081186.2224371522</v>
      </c>
      <c r="U15" s="73">
        <f t="shared" si="2"/>
        <v>1213397.6734502078</v>
      </c>
      <c r="W15" s="73">
        <f t="shared" si="3"/>
        <v>116962.7680888318</v>
      </c>
      <c r="X15" s="73">
        <f t="shared" si="4"/>
        <v>-15248.682924223831</v>
      </c>
    </row>
    <row r="16" spans="1:36" x14ac:dyDescent="0.25">
      <c r="A16" s="38">
        <v>1996</v>
      </c>
      <c r="B16" s="146">
        <f>'[1]Capped Flow'!V15</f>
        <v>442642.86000000004</v>
      </c>
      <c r="C16" s="43">
        <f>'Lewellen_Irrigation Season'!C16+'NorthPlatte_IRR Season'!F16+'Odessa_Irrigation Season'!F16+'SPlatte_Irrigation Season'!E16</f>
        <v>188687.58568357167</v>
      </c>
      <c r="D16" s="43">
        <f>'Lewellen_Irrigation Season'!D16+'NorthPlatte_IRR Season'!E16+'Odessa_Irrigation Season'!G16+'SPlatte_Irrigation Season'!F16</f>
        <v>56341.657573241362</v>
      </c>
      <c r="E16" s="43">
        <f>'Lewellen_Irrigation Season'!E16+'NorthPlatte_IRR Season'!H16+'Odessa_Irrigation Season'!H16+'GIsland_Irrigation Season'!E16+'Duncan_Irrigation Season'!E16+'SPlatte_Irrigation Season'!G16</f>
        <v>164834.95175313184</v>
      </c>
      <c r="F16" s="21"/>
      <c r="G16" s="159">
        <f t="shared" si="0"/>
        <v>852507.05500994495</v>
      </c>
      <c r="H16" s="81"/>
      <c r="I16" s="146">
        <f>'Lewellen_Irrigation Season'!I16+'NorthPlatte_IRR Season'!P16+'Odessa_Irrigation Season'!N16+'Odessa_Irrigation Season'!R16+'Odessa_Irrigation Season'!Y16+'SPlatte_Irrigation Season'!K16</f>
        <v>307820.0727559966</v>
      </c>
      <c r="J16" s="146">
        <f>'NorthPlatte_IRR Season'!R16+'Odessa_Irrigation Season'!O16+'GIsland_Irrigation Season'!L16+'Duncan_Irrigation Season'!L16+'SPlatte_Irrigation Season'!L16</f>
        <v>9908.9200000000037</v>
      </c>
      <c r="K16" s="43">
        <f>MAX('Lewellen_Irrigation Season'!J16+'NorthPlatte_IRR Season'!S16+'Odessa_Irrigation Season'!P16+'GIsland_Irrigation Season'!K16+'Duncan_Irrigation Season'!K16+'SPlatte_Irrigation Season'!M16,E16)</f>
        <v>238366.69672997232</v>
      </c>
      <c r="L16" s="61">
        <f>'Lewellen_Irrigation Season'!M16+'NorthPlatte_IRR Season'!W16+'Odessa_Irrigation Season'!AB16+'SPlatte_Irrigation Season'!Q16</f>
        <v>403750.50000225316</v>
      </c>
      <c r="M16" s="61">
        <f t="shared" si="5"/>
        <v>56341.657573241362</v>
      </c>
      <c r="N16" s="61">
        <f>MAX('Odessa_Irrigation Season'!W16,'GIsland_Irrigation Season'!N16,'Duncan_Irrigation Season'!N16)</f>
        <v>115681.14955416379</v>
      </c>
      <c r="O16" s="61">
        <f>MAX('NorthPlatte_IRR Season'!U16+'SPlatte_Irrigation Season'!O16,'NorthPlatte_IRR Season'!V16+'SPlatte_Irrigation Season'!P16,'Odessa_Irrigation Season'!T16,'Odessa_Irrigation Season'!AA16)</f>
        <v>346104</v>
      </c>
      <c r="P16" s="61">
        <f>[5]PlatteBWSproportions!$C$12*([2]SWDemand!T22+[2]SWDemand!U22)+MAX([5]PlatteBWSproportions!G17,[5]PlatteBWSproportions!K17,[5]PlatteBWSproportions!$C$12*[2]InducedRchrg!$B$11)</f>
        <v>92576.534413398549</v>
      </c>
      <c r="Q16" s="62">
        <f>'NorthPlatte_IRR Season'!AB16</f>
        <v>0</v>
      </c>
      <c r="R16" s="62">
        <f t="shared" si="6"/>
        <v>346104</v>
      </c>
      <c r="S16" s="82"/>
      <c r="T16" s="73">
        <f t="shared" si="1"/>
        <v>1288760.1020846227</v>
      </c>
      <c r="U16" s="73">
        <f t="shared" si="2"/>
        <v>1362291.8470614632</v>
      </c>
      <c r="W16" s="73">
        <f t="shared" si="3"/>
        <v>-436253.04707467777</v>
      </c>
      <c r="X16" s="73">
        <f t="shared" si="4"/>
        <v>-509784.79205151822</v>
      </c>
    </row>
    <row r="17" spans="1:24" x14ac:dyDescent="0.25">
      <c r="A17" s="38">
        <v>1997</v>
      </c>
      <c r="B17" s="146">
        <f>'[1]Capped Flow'!V16</f>
        <v>472085.46000000008</v>
      </c>
      <c r="C17" s="43">
        <f>'Lewellen_Irrigation Season'!C17+'NorthPlatte_IRR Season'!F17+'Odessa_Irrigation Season'!F17+'SPlatte_Irrigation Season'!E17</f>
        <v>224362.22384803445</v>
      </c>
      <c r="D17" s="43">
        <f>'Lewellen_Irrigation Season'!D17+'NorthPlatte_IRR Season'!E17+'Odessa_Irrigation Season'!G17+'SPlatte_Irrigation Season'!F17</f>
        <v>50037.903663419907</v>
      </c>
      <c r="E17" s="43">
        <f>'Lewellen_Irrigation Season'!E17+'NorthPlatte_IRR Season'!H17+'Odessa_Irrigation Season'!H17+'GIsland_Irrigation Season'!E17+'Duncan_Irrigation Season'!E17+'SPlatte_Irrigation Season'!G17</f>
        <v>166270.41819710587</v>
      </c>
      <c r="F17" s="21"/>
      <c r="G17" s="159">
        <f t="shared" si="0"/>
        <v>912756.00570856035</v>
      </c>
      <c r="H17" s="81"/>
      <c r="I17" s="146">
        <f>'Lewellen_Irrigation Season'!I17+'NorthPlatte_IRR Season'!P17+'Odessa_Irrigation Season'!N17+'Odessa_Irrigation Season'!R17+'Odessa_Irrigation Season'!Y17+'SPlatte_Irrigation Season'!K17</f>
        <v>376253.85194249958</v>
      </c>
      <c r="J17" s="146">
        <f>'NorthPlatte_IRR Season'!R17+'Odessa_Irrigation Season'!O17+'GIsland_Irrigation Season'!L17+'Duncan_Irrigation Season'!L17+'SPlatte_Irrigation Season'!L17</f>
        <v>10048.64</v>
      </c>
      <c r="K17" s="43">
        <f>MAX('Lewellen_Irrigation Season'!J17+'NorthPlatte_IRR Season'!S17+'Odessa_Irrigation Season'!P17+'GIsland_Irrigation Season'!K17+'Duncan_Irrigation Season'!K17+'SPlatte_Irrigation Season'!M17,E17)</f>
        <v>306921.65573826083</v>
      </c>
      <c r="L17" s="61">
        <f>'Lewellen_Irrigation Season'!M17+'NorthPlatte_IRR Season'!W17+'Odessa_Irrigation Season'!AB17+'SPlatte_Irrigation Season'!Q17</f>
        <v>383992.96999683301</v>
      </c>
      <c r="M17" s="61">
        <f t="shared" si="5"/>
        <v>50037.903663419907</v>
      </c>
      <c r="N17" s="61">
        <f>MAX('Odessa_Irrigation Season'!W17,'GIsland_Irrigation Season'!N17,'Duncan_Irrigation Season'!N17)</f>
        <v>77043.392367280539</v>
      </c>
      <c r="O17" s="61">
        <f>MAX('NorthPlatte_IRR Season'!U17+'SPlatte_Irrigation Season'!O17,'NorthPlatte_IRR Season'!V17+'SPlatte_Irrigation Season'!P17,'Odessa_Irrigation Season'!T17,'Odessa_Irrigation Season'!AA17)</f>
        <v>346104</v>
      </c>
      <c r="P17" s="61">
        <f>[5]PlatteBWSproportions!$C$12*([2]SWDemand!T23+[2]SWDemand!U23)+MAX([5]PlatteBWSproportions!G18,[5]PlatteBWSproportions!K18,[5]PlatteBWSproportions!$C$12*[2]InducedRchrg!$B$11)</f>
        <v>53016.860820549176</v>
      </c>
      <c r="Q17" s="62">
        <f>'NorthPlatte_IRR Season'!AB17</f>
        <v>229300</v>
      </c>
      <c r="R17" s="62">
        <f t="shared" si="6"/>
        <v>346104</v>
      </c>
      <c r="S17" s="82"/>
      <c r="T17" s="73">
        <f t="shared" si="1"/>
        <v>1103407.7837998583</v>
      </c>
      <c r="U17" s="73">
        <f t="shared" si="2"/>
        <v>1244059.0213410133</v>
      </c>
      <c r="W17" s="73">
        <f t="shared" si="3"/>
        <v>-190651.77809129795</v>
      </c>
      <c r="X17" s="73">
        <f t="shared" si="4"/>
        <v>-331303.01563245291</v>
      </c>
    </row>
    <row r="18" spans="1:24" x14ac:dyDescent="0.25">
      <c r="A18" s="38">
        <v>1998</v>
      </c>
      <c r="B18" s="146">
        <f>'[1]Capped Flow'!V17</f>
        <v>421654.85999999993</v>
      </c>
      <c r="C18" s="43">
        <f>'Lewellen_Irrigation Season'!C18+'NorthPlatte_IRR Season'!F18+'Odessa_Irrigation Season'!F18+'SPlatte_Irrigation Season'!E18</f>
        <v>219196.93109557265</v>
      </c>
      <c r="D18" s="43">
        <f>'Lewellen_Irrigation Season'!D18+'NorthPlatte_IRR Season'!E18+'Odessa_Irrigation Season'!G18+'SPlatte_Irrigation Season'!F18</f>
        <v>50432.817667525538</v>
      </c>
      <c r="E18" s="43">
        <f>'Lewellen_Irrigation Season'!E18+'NorthPlatte_IRR Season'!H18+'Odessa_Irrigation Season'!H18+'GIsland_Irrigation Season'!E18+'Duncan_Irrigation Season'!E18+'SPlatte_Irrigation Season'!G18</f>
        <v>164277.75453244316</v>
      </c>
      <c r="F18" s="21"/>
      <c r="G18" s="159">
        <f t="shared" si="0"/>
        <v>855562.36329554114</v>
      </c>
      <c r="H18" s="81"/>
      <c r="I18" s="146">
        <f>'Lewellen_Irrigation Season'!I18+'NorthPlatte_IRR Season'!P18+'Odessa_Irrigation Season'!N18+'Odessa_Irrigation Season'!R18+'Odessa_Irrigation Season'!Y18+'SPlatte_Irrigation Season'!K18</f>
        <v>360411.70118548715</v>
      </c>
      <c r="J18" s="146">
        <f>'NorthPlatte_IRR Season'!R18+'Odessa_Irrigation Season'!O18+'GIsland_Irrigation Season'!L18+'Duncan_Irrigation Season'!L18+'SPlatte_Irrigation Season'!L18</f>
        <v>10344.89</v>
      </c>
      <c r="K18" s="43">
        <f>MAX('Lewellen_Irrigation Season'!J18+'NorthPlatte_IRR Season'!S18+'Odessa_Irrigation Season'!P18+'GIsland_Irrigation Season'!K18+'Duncan_Irrigation Season'!K18+'SPlatte_Irrigation Season'!M18,E18)</f>
        <v>275351.08611341345</v>
      </c>
      <c r="L18" s="61">
        <f>'Lewellen_Irrigation Season'!M18+'NorthPlatte_IRR Season'!W18+'Odessa_Irrigation Season'!AB18+'SPlatte_Irrigation Season'!Q18</f>
        <v>390613.64000297303</v>
      </c>
      <c r="M18" s="61">
        <f t="shared" si="5"/>
        <v>50432.817667525538</v>
      </c>
      <c r="N18" s="61">
        <f>MAX('Odessa_Irrigation Season'!W18,'GIsland_Irrigation Season'!N18,'Duncan_Irrigation Season'!N18)</f>
        <v>79256.454439173365</v>
      </c>
      <c r="O18" s="61">
        <f>MAX('NorthPlatte_IRR Season'!U18+'SPlatte_Irrigation Season'!O18,'NorthPlatte_IRR Season'!V18+'SPlatte_Irrigation Season'!P18,'Odessa_Irrigation Season'!T18,'Odessa_Irrigation Season'!AA18)</f>
        <v>346104</v>
      </c>
      <c r="P18" s="61">
        <f>[5]PlatteBWSproportions!$C$12*([2]SWDemand!T24+[2]SWDemand!U24)+MAX([5]PlatteBWSproportions!G19,[5]PlatteBWSproportions!K19,[5]PlatteBWSproportions!$C$12*[2]InducedRchrg!$B$11)</f>
        <v>82521.660189645379</v>
      </c>
      <c r="Q18" s="62">
        <f>'NorthPlatte_IRR Season'!AB18</f>
        <v>0</v>
      </c>
      <c r="R18" s="62">
        <f t="shared" si="6"/>
        <v>346104</v>
      </c>
      <c r="S18" s="82"/>
      <c r="T18" s="73">
        <f t="shared" si="1"/>
        <v>1322184.8033884289</v>
      </c>
      <c r="U18" s="73">
        <f t="shared" si="2"/>
        <v>1433258.1349693988</v>
      </c>
      <c r="W18" s="73">
        <f t="shared" si="3"/>
        <v>-466622.44009288773</v>
      </c>
      <c r="X18" s="73">
        <f t="shared" si="4"/>
        <v>-577695.7716738577</v>
      </c>
    </row>
    <row r="19" spans="1:24" x14ac:dyDescent="0.25">
      <c r="A19" s="38">
        <v>1999</v>
      </c>
      <c r="B19" s="146">
        <f>'[1]Capped Flow'!V18</f>
        <v>736698.59999999928</v>
      </c>
      <c r="C19" s="43">
        <f>'Lewellen_Irrigation Season'!C19+'NorthPlatte_IRR Season'!F19+'Odessa_Irrigation Season'!F19+'SPlatte_Irrigation Season'!E19</f>
        <v>204043.42728047655</v>
      </c>
      <c r="D19" s="43">
        <f>'Lewellen_Irrigation Season'!D19+'NorthPlatte_IRR Season'!E19+'Odessa_Irrigation Season'!G19+'SPlatte_Irrigation Season'!F19</f>
        <v>42989.434836270157</v>
      </c>
      <c r="E19" s="43">
        <f>'Lewellen_Irrigation Season'!E19+'NorthPlatte_IRR Season'!H19+'Odessa_Irrigation Season'!H19+'GIsland_Irrigation Season'!E19+'Duncan_Irrigation Season'!E19+'SPlatte_Irrigation Season'!G19</f>
        <v>163472.82475315779</v>
      </c>
      <c r="F19" s="21"/>
      <c r="G19" s="159">
        <f t="shared" si="0"/>
        <v>1147204.2868699038</v>
      </c>
      <c r="H19" s="81"/>
      <c r="I19" s="146">
        <f>'Lewellen_Irrigation Season'!I19+'NorthPlatte_IRR Season'!P19+'Odessa_Irrigation Season'!N19+'Odessa_Irrigation Season'!R19+'Odessa_Irrigation Season'!Y19+'SPlatte_Irrigation Season'!K19</f>
        <v>331338.55228477583</v>
      </c>
      <c r="J19" s="146">
        <f>'NorthPlatte_IRR Season'!R19+'Odessa_Irrigation Season'!O19+'GIsland_Irrigation Season'!L19+'Duncan_Irrigation Season'!L19+'SPlatte_Irrigation Season'!L19</f>
        <v>10441.120000000001</v>
      </c>
      <c r="K19" s="43">
        <f>MAX('Lewellen_Irrigation Season'!J19+'NorthPlatte_IRR Season'!S19+'Odessa_Irrigation Season'!P19+'GIsland_Irrigation Season'!K19+'Duncan_Irrigation Season'!K19+'SPlatte_Irrigation Season'!M19,E19)</f>
        <v>268751.97485009197</v>
      </c>
      <c r="L19" s="61">
        <f>'Lewellen_Irrigation Season'!M19+'NorthPlatte_IRR Season'!W19+'Odessa_Irrigation Season'!AB19+'SPlatte_Irrigation Season'!Q19</f>
        <v>390649.82000357192</v>
      </c>
      <c r="M19" s="61">
        <f t="shared" si="5"/>
        <v>42989.434836270157</v>
      </c>
      <c r="N19" s="61">
        <f>MAX('Odessa_Irrigation Season'!W19,'GIsland_Irrigation Season'!N19,'Duncan_Irrigation Season'!N19)</f>
        <v>105144.30565475098</v>
      </c>
      <c r="O19" s="61">
        <f>MAX('NorthPlatte_IRR Season'!U19+'SPlatte_Irrigation Season'!O19,'NorthPlatte_IRR Season'!V19+'SPlatte_Irrigation Season'!P19,'Odessa_Irrigation Season'!T19,'Odessa_Irrigation Season'!AA19)</f>
        <v>346104</v>
      </c>
      <c r="P19" s="61">
        <f>[5]PlatteBWSproportions!$C$12*([2]SWDemand!T25+[2]SWDemand!U25)+MAX([5]PlatteBWSproportions!G20,[5]PlatteBWSproportions!K20,[5]PlatteBWSproportions!$C$12*[2]InducedRchrg!$B$11)</f>
        <v>82206.369440128998</v>
      </c>
      <c r="Q19" s="62">
        <f>'NorthPlatte_IRR Season'!AB19</f>
        <v>242800</v>
      </c>
      <c r="R19" s="62">
        <f t="shared" si="6"/>
        <v>346104</v>
      </c>
      <c r="S19" s="82"/>
      <c r="T19" s="73">
        <f t="shared" si="1"/>
        <v>1042195.7518777756</v>
      </c>
      <c r="U19" s="73">
        <f t="shared" si="2"/>
        <v>1147474.9019747099</v>
      </c>
      <c r="W19" s="73">
        <f t="shared" si="3"/>
        <v>105008.53499212814</v>
      </c>
      <c r="X19" s="73">
        <f t="shared" si="4"/>
        <v>-270.61510480614379</v>
      </c>
    </row>
    <row r="20" spans="1:24" x14ac:dyDescent="0.25">
      <c r="A20" s="38">
        <v>2000</v>
      </c>
      <c r="B20" s="146">
        <f>'[1]Capped Flow'!V19</f>
        <v>169830.54000000004</v>
      </c>
      <c r="C20" s="43">
        <f>'Lewellen_Irrigation Season'!C20+'NorthPlatte_IRR Season'!F20+'Odessa_Irrigation Season'!F20+'SPlatte_Irrigation Season'!E20</f>
        <v>258727.12841936771</v>
      </c>
      <c r="D20" s="43">
        <f>'Lewellen_Irrigation Season'!D20+'NorthPlatte_IRR Season'!E20+'Odessa_Irrigation Season'!G20+'SPlatte_Irrigation Season'!F20</f>
        <v>60681.743055046121</v>
      </c>
      <c r="E20" s="43">
        <f>'Lewellen_Irrigation Season'!E20+'NorthPlatte_IRR Season'!H20+'Odessa_Irrigation Season'!H20+'GIsland_Irrigation Season'!E20+'Duncan_Irrigation Season'!E20+'SPlatte_Irrigation Season'!G20</f>
        <v>184230.17165491561</v>
      </c>
      <c r="F20" s="21"/>
      <c r="G20" s="159">
        <f t="shared" si="0"/>
        <v>673469.58312932949</v>
      </c>
      <c r="H20" s="81"/>
      <c r="I20" s="146">
        <f>'Lewellen_Irrigation Season'!I20+'NorthPlatte_IRR Season'!P20+'Odessa_Irrigation Season'!N20+'Odessa_Irrigation Season'!R20+'Odessa_Irrigation Season'!Y20+'SPlatte_Irrigation Season'!K20</f>
        <v>477553.64694906707</v>
      </c>
      <c r="J20" s="146">
        <f>'NorthPlatte_IRR Season'!R20+'Odessa_Irrigation Season'!O20+'GIsland_Irrigation Season'!L20+'Duncan_Irrigation Season'!L20+'SPlatte_Irrigation Season'!L20</f>
        <v>10602.09</v>
      </c>
      <c r="K20" s="43">
        <f>MAX('Lewellen_Irrigation Season'!J20+'NorthPlatte_IRR Season'!S20+'Odessa_Irrigation Season'!P20+'GIsland_Irrigation Season'!K20+'Duncan_Irrigation Season'!K20+'SPlatte_Irrigation Season'!M20,E20)</f>
        <v>354248.10959760105</v>
      </c>
      <c r="L20" s="61">
        <f>'Lewellen_Irrigation Season'!M20+'NorthPlatte_IRR Season'!W20+'Odessa_Irrigation Season'!AB20+'SPlatte_Irrigation Season'!Q20</f>
        <v>407781.3999868629</v>
      </c>
      <c r="M20" s="61">
        <f t="shared" si="5"/>
        <v>60681.743055046121</v>
      </c>
      <c r="N20" s="61">
        <f>MAX('Odessa_Irrigation Season'!W20,'GIsland_Irrigation Season'!N20,'Duncan_Irrigation Season'!N20)</f>
        <v>32113.417496164417</v>
      </c>
      <c r="O20" s="61">
        <f>MAX('NorthPlatte_IRR Season'!U20+'SPlatte_Irrigation Season'!O20,'NorthPlatte_IRR Season'!V20+'SPlatte_Irrigation Season'!P20,'Odessa_Irrigation Season'!T20,'Odessa_Irrigation Season'!AA20)</f>
        <v>207987.21880183654</v>
      </c>
      <c r="P20" s="61">
        <f>[5]PlatteBWSproportions!$C$12*([2]SWDemand!T26+[2]SWDemand!U26)+MAX([5]PlatteBWSproportions!G21,[5]PlatteBWSproportions!K21,[5]PlatteBWSproportions!$C$12*[2]InducedRchrg!$B$11)</f>
        <v>55601.163060505198</v>
      </c>
      <c r="Q20" s="62">
        <f>'NorthPlatte_IRR Season'!AB20</f>
        <v>0</v>
      </c>
      <c r="R20" s="62">
        <f t="shared" si="6"/>
        <v>207987.21880183654</v>
      </c>
      <c r="S20" s="82"/>
      <c r="T20" s="73">
        <f t="shared" si="1"/>
        <v>1348836.2704477282</v>
      </c>
      <c r="U20" s="73">
        <f t="shared" si="2"/>
        <v>1518854.2083904136</v>
      </c>
      <c r="W20" s="73">
        <f t="shared" si="3"/>
        <v>-675366.68731839873</v>
      </c>
      <c r="X20" s="73">
        <f t="shared" si="4"/>
        <v>-845384.62526108406</v>
      </c>
    </row>
    <row r="21" spans="1:24" x14ac:dyDescent="0.25">
      <c r="A21" s="38">
        <v>2001</v>
      </c>
      <c r="B21" s="146">
        <f>'[1]Capped Flow'!V20</f>
        <v>130333.49999999994</v>
      </c>
      <c r="C21" s="43">
        <f>'Lewellen_Irrigation Season'!C21+'NorthPlatte_IRR Season'!F21+'Odessa_Irrigation Season'!F21+'SPlatte_Irrigation Season'!E21</f>
        <v>217702.8955348343</v>
      </c>
      <c r="D21" s="43">
        <f>'Lewellen_Irrigation Season'!D21+'NorthPlatte_IRR Season'!E21+'Odessa_Irrigation Season'!G21+'SPlatte_Irrigation Season'!F21</f>
        <v>49672.090779078622</v>
      </c>
      <c r="E21" s="43">
        <f>'Lewellen_Irrigation Season'!E21+'NorthPlatte_IRR Season'!H21+'Odessa_Irrigation Season'!H21+'GIsland_Irrigation Season'!E21+'Duncan_Irrigation Season'!E21+'SPlatte_Irrigation Season'!G21</f>
        <v>182983.93295128981</v>
      </c>
      <c r="F21" s="21"/>
      <c r="G21" s="159">
        <f t="shared" si="0"/>
        <v>580692.41926520271</v>
      </c>
      <c r="H21" s="81"/>
      <c r="I21" s="146">
        <f>'Lewellen_Irrigation Season'!I21+'NorthPlatte_IRR Season'!P21+'Odessa_Irrigation Season'!N21+'Odessa_Irrigation Season'!R21+'Odessa_Irrigation Season'!Y21+'SPlatte_Irrigation Season'!K21</f>
        <v>386855.38806733803</v>
      </c>
      <c r="J21" s="146">
        <f>'NorthPlatte_IRR Season'!R21+'Odessa_Irrigation Season'!O21+'GIsland_Irrigation Season'!L21+'Duncan_Irrigation Season'!L21+'SPlatte_Irrigation Season'!L21</f>
        <v>10661.810000000001</v>
      </c>
      <c r="K21" s="43">
        <f>MAX('Lewellen_Irrigation Season'!J21+'NorthPlatte_IRR Season'!S21+'Odessa_Irrigation Season'!P21+'GIsland_Irrigation Season'!K21+'Duncan_Irrigation Season'!K21+'SPlatte_Irrigation Season'!M21,E21)</f>
        <v>285230.40802324831</v>
      </c>
      <c r="L21" s="61">
        <f>'Lewellen_Irrigation Season'!M21+'NorthPlatte_IRR Season'!W21+'Odessa_Irrigation Season'!AB21+'SPlatte_Irrigation Season'!Q21</f>
        <v>395677.73999725305</v>
      </c>
      <c r="M21" s="61">
        <f t="shared" si="5"/>
        <v>49672.090779078622</v>
      </c>
      <c r="N21" s="61">
        <f>MAX('Odessa_Irrigation Season'!W21,'GIsland_Irrigation Season'!N21,'Duncan_Irrigation Season'!N21)</f>
        <v>64921.376865831087</v>
      </c>
      <c r="O21" s="61">
        <f>MAX('NorthPlatte_IRR Season'!U21+'SPlatte_Irrigation Season'!O21,'NorthPlatte_IRR Season'!V21+'SPlatte_Irrigation Season'!P21,'Odessa_Irrigation Season'!T21,'Odessa_Irrigation Season'!AA21)</f>
        <v>263084.61075764458</v>
      </c>
      <c r="P21" s="61">
        <f>[5]PlatteBWSproportions!$C$12*([2]SWDemand!T27+[2]SWDemand!U27)+MAX([5]PlatteBWSproportions!G22,[5]PlatteBWSproportions!K22,[5]PlatteBWSproportions!$C$12*[2]InducedRchrg!$B$11)</f>
        <v>51267.734028394159</v>
      </c>
      <c r="Q21" s="62">
        <f>'NorthPlatte_IRR Season'!AB21</f>
        <v>0</v>
      </c>
      <c r="R21" s="62">
        <f t="shared" si="6"/>
        <v>263084.61075764458</v>
      </c>
      <c r="S21" s="82"/>
      <c r="T21" s="73">
        <f t="shared" si="1"/>
        <v>1288935.5725526041</v>
      </c>
      <c r="U21" s="73">
        <f t="shared" si="2"/>
        <v>1391182.0476245626</v>
      </c>
      <c r="W21" s="73">
        <f t="shared" si="3"/>
        <v>-708243.15328740142</v>
      </c>
      <c r="X21" s="73">
        <f t="shared" si="4"/>
        <v>-810489.62835935992</v>
      </c>
    </row>
    <row r="22" spans="1:24" x14ac:dyDescent="0.25">
      <c r="A22" s="38">
        <v>2002</v>
      </c>
      <c r="B22" s="146">
        <f>'[1]Capped Flow'!V21</f>
        <v>16262.9478</v>
      </c>
      <c r="C22" s="43">
        <f>'Lewellen_Irrigation Season'!C22+'NorthPlatte_IRR Season'!F22+'Odessa_Irrigation Season'!F22+'SPlatte_Irrigation Season'!E22</f>
        <v>246559.40634177532</v>
      </c>
      <c r="D22" s="43">
        <f>'Lewellen_Irrigation Season'!D22+'NorthPlatte_IRR Season'!E22+'Odessa_Irrigation Season'!G22+'SPlatte_Irrigation Season'!F22</f>
        <v>53648.838505215055</v>
      </c>
      <c r="E22" s="43">
        <f>'Lewellen_Irrigation Season'!E22+'NorthPlatte_IRR Season'!H22+'Odessa_Irrigation Season'!H22+'GIsland_Irrigation Season'!E22+'Duncan_Irrigation Season'!E22+'SPlatte_Irrigation Season'!G22</f>
        <v>213388.06952415413</v>
      </c>
      <c r="F22" s="21"/>
      <c r="G22" s="159">
        <f t="shared" si="0"/>
        <v>529859.2621711446</v>
      </c>
      <c r="H22" s="81"/>
      <c r="I22" s="146">
        <f>'Lewellen_Irrigation Season'!I22+'NorthPlatte_IRR Season'!P22+'Odessa_Irrigation Season'!N22+'Odessa_Irrigation Season'!R22+'Odessa_Irrigation Season'!Y22+'SPlatte_Irrigation Season'!K22</f>
        <v>518591.30476593127</v>
      </c>
      <c r="J22" s="146">
        <f>'NorthPlatte_IRR Season'!R22+'Odessa_Irrigation Season'!O22+'GIsland_Irrigation Season'!L22+'Duncan_Irrigation Season'!L22+'SPlatte_Irrigation Season'!L22</f>
        <v>10721.810000000001</v>
      </c>
      <c r="K22" s="43">
        <f>MAX('Lewellen_Irrigation Season'!J22+'NorthPlatte_IRR Season'!S22+'Odessa_Irrigation Season'!P22+'GIsland_Irrigation Season'!K22+'Duncan_Irrigation Season'!K22+'SPlatte_Irrigation Season'!M22,E22)</f>
        <v>498226.04853954795</v>
      </c>
      <c r="L22" s="61">
        <f>'Lewellen_Irrigation Season'!M22+'NorthPlatte_IRR Season'!W22+'Odessa_Irrigation Season'!AB22+'SPlatte_Irrigation Season'!Q22</f>
        <v>359167.03000209207</v>
      </c>
      <c r="M22" s="61">
        <f t="shared" si="5"/>
        <v>53648.838505215055</v>
      </c>
      <c r="N22" s="61">
        <f>MAX('Odessa_Irrigation Season'!W22,'GIsland_Irrigation Season'!N22,'Duncan_Irrigation Season'!N22)</f>
        <v>16714.313703946129</v>
      </c>
      <c r="O22" s="61">
        <f>MAX('NorthPlatte_IRR Season'!U22+'SPlatte_Irrigation Season'!O22,'NorthPlatte_IRR Season'!V22+'SPlatte_Irrigation Season'!P22,'Odessa_Irrigation Season'!T22,'Odessa_Irrigation Season'!AA22)</f>
        <v>133357.05501347565</v>
      </c>
      <c r="P22" s="61">
        <f>[5]PlatteBWSproportions!$C$12*([2]SWDemand!T28+[2]SWDemand!U28)+MAX([5]PlatteBWSproportions!G23,[5]PlatteBWSproportions!K23,[5]PlatteBWSproportions!$C$12*[2]InducedRchrg!$B$11)</f>
        <v>54792.631575709951</v>
      </c>
      <c r="Q22" s="62">
        <f>'NorthPlatte_IRR Season'!AB22</f>
        <v>0</v>
      </c>
      <c r="R22" s="62">
        <f t="shared" si="6"/>
        <v>133357.05501347565</v>
      </c>
      <c r="S22" s="82"/>
      <c r="T22" s="73">
        <f t="shared" si="1"/>
        <v>1288874.1078108682</v>
      </c>
      <c r="U22" s="73">
        <f t="shared" si="2"/>
        <v>1573712.0868262621</v>
      </c>
      <c r="W22" s="73">
        <f t="shared" si="3"/>
        <v>-759014.84563972359</v>
      </c>
      <c r="X22" s="73">
        <f t="shared" si="4"/>
        <v>-1043852.8246551175</v>
      </c>
    </row>
    <row r="23" spans="1:24" x14ac:dyDescent="0.25">
      <c r="A23" s="38">
        <v>2003</v>
      </c>
      <c r="B23" s="146">
        <f>'[1]Capped Flow'!V22</f>
        <v>31295.523599999997</v>
      </c>
      <c r="C23" s="43">
        <f>'Lewellen_Irrigation Season'!C23+'NorthPlatte_IRR Season'!F23+'Odessa_Irrigation Season'!F23+'SPlatte_Irrigation Season'!E23</f>
        <v>190316.18319452251</v>
      </c>
      <c r="D23" s="43">
        <f>'Lewellen_Irrigation Season'!D23+'NorthPlatte_IRR Season'!E23+'Odessa_Irrigation Season'!G23+'SPlatte_Irrigation Season'!F23</f>
        <v>50101.9387545309</v>
      </c>
      <c r="E23" s="43">
        <f>'Lewellen_Irrigation Season'!E23+'NorthPlatte_IRR Season'!H23+'Odessa_Irrigation Season'!H23+'GIsland_Irrigation Season'!E23+'Duncan_Irrigation Season'!E23+'SPlatte_Irrigation Season'!G23</f>
        <v>218563.18777282332</v>
      </c>
      <c r="F23" s="21"/>
      <c r="G23" s="159">
        <f t="shared" si="0"/>
        <v>490276.83332187671</v>
      </c>
      <c r="H23" s="81"/>
      <c r="I23" s="146">
        <f>'Lewellen_Irrigation Season'!I23+'NorthPlatte_IRR Season'!P23+'Odessa_Irrigation Season'!N23+'Odessa_Irrigation Season'!R23+'Odessa_Irrigation Season'!Y23+'SPlatte_Irrigation Season'!K23</f>
        <v>395510.99958251393</v>
      </c>
      <c r="J23" s="146">
        <f>'NorthPlatte_IRR Season'!R23+'Odessa_Irrigation Season'!O23+'GIsland_Irrigation Season'!L23+'Duncan_Irrigation Season'!L23+'SPlatte_Irrigation Season'!L23</f>
        <v>10895.25</v>
      </c>
      <c r="K23" s="43">
        <f>MAX('Lewellen_Irrigation Season'!J23+'NorthPlatte_IRR Season'!S23+'Odessa_Irrigation Season'!P23+'GIsland_Irrigation Season'!K23+'Duncan_Irrigation Season'!K23+'SPlatte_Irrigation Season'!M23,E23)</f>
        <v>404916.99572958442</v>
      </c>
      <c r="L23" s="61">
        <f>'Lewellen_Irrigation Season'!M23+'NorthPlatte_IRR Season'!W23+'Odessa_Irrigation Season'!AB23+'SPlatte_Irrigation Season'!Q23</f>
        <v>341487.58000222303</v>
      </c>
      <c r="M23" s="61">
        <f t="shared" si="5"/>
        <v>50101.9387545309</v>
      </c>
      <c r="N23" s="61">
        <f>MAX('Odessa_Irrigation Season'!W23,'GIsland_Irrigation Season'!N23,'Duncan_Irrigation Season'!N23)</f>
        <v>13881.366200866716</v>
      </c>
      <c r="O23" s="61">
        <f>MAX('NorthPlatte_IRR Season'!U23+'SPlatte_Irrigation Season'!O23,'NorthPlatte_IRR Season'!V23+'SPlatte_Irrigation Season'!P23,'Odessa_Irrigation Season'!T23,'Odessa_Irrigation Season'!AA23)</f>
        <v>180081.77598793994</v>
      </c>
      <c r="P23" s="61">
        <f>[5]PlatteBWSproportions!$C$12*([2]SWDemand!T29+[2]SWDemand!U29)+MAX([5]PlatteBWSproportions!G24,[5]PlatteBWSproportions!K24,[5]PlatteBWSproportions!$C$12*[2]InducedRchrg!$B$11)</f>
        <v>50001.543879471268</v>
      </c>
      <c r="Q23" s="62">
        <f>'NorthPlatte_IRR Season'!AB23</f>
        <v>0</v>
      </c>
      <c r="R23" s="62">
        <f t="shared" si="6"/>
        <v>180081.77598793994</v>
      </c>
      <c r="S23" s="82"/>
      <c r="T23" s="73">
        <f t="shared" si="1"/>
        <v>1196640.7321000311</v>
      </c>
      <c r="U23" s="73">
        <f t="shared" si="2"/>
        <v>1382994.5400567923</v>
      </c>
      <c r="W23" s="73">
        <f t="shared" si="3"/>
        <v>-706363.8987781544</v>
      </c>
      <c r="X23" s="73">
        <f t="shared" si="4"/>
        <v>-892717.70673491561</v>
      </c>
    </row>
    <row r="24" spans="1:24" x14ac:dyDescent="0.25">
      <c r="A24" s="38">
        <v>2004</v>
      </c>
      <c r="B24" s="146">
        <f>'[1]Capped Flow'!V23</f>
        <v>7432.8407999999999</v>
      </c>
      <c r="C24" s="43">
        <f>'Lewellen_Irrigation Season'!C24+'NorthPlatte_IRR Season'!F24+'Odessa_Irrigation Season'!F24+'SPlatte_Irrigation Season'!E24</f>
        <v>149178.97439276322</v>
      </c>
      <c r="D24" s="43">
        <f>'Lewellen_Irrigation Season'!D24+'NorthPlatte_IRR Season'!E24+'Odessa_Irrigation Season'!G24+'SPlatte_Irrigation Season'!F24</f>
        <v>35770.881008170065</v>
      </c>
      <c r="E24" s="43">
        <f>'Lewellen_Irrigation Season'!E24+'NorthPlatte_IRR Season'!H24+'Odessa_Irrigation Season'!H24+'GIsland_Irrigation Season'!E24+'Duncan_Irrigation Season'!E24+'SPlatte_Irrigation Season'!G24</f>
        <v>221971.88303207495</v>
      </c>
      <c r="F24" s="21"/>
      <c r="G24" s="159">
        <f t="shared" si="0"/>
        <v>414354.57923300826</v>
      </c>
      <c r="H24" s="81"/>
      <c r="I24" s="146">
        <f>'Lewellen_Irrigation Season'!I24+'NorthPlatte_IRR Season'!P24+'Odessa_Irrigation Season'!N24+'Odessa_Irrigation Season'!R24+'Odessa_Irrigation Season'!Y24+'SPlatte_Irrigation Season'!K24</f>
        <v>302819.32053823984</v>
      </c>
      <c r="J24" s="146">
        <f>'NorthPlatte_IRR Season'!R24+'Odessa_Irrigation Season'!O24+'GIsland_Irrigation Season'!L24+'Duncan_Irrigation Season'!L24+'SPlatte_Irrigation Season'!L24</f>
        <v>13039.239999999998</v>
      </c>
      <c r="K24" s="43">
        <f>MAX('Lewellen_Irrigation Season'!J24+'NorthPlatte_IRR Season'!S24+'Odessa_Irrigation Season'!P24+'GIsland_Irrigation Season'!K24+'Duncan_Irrigation Season'!K24+'SPlatte_Irrigation Season'!M24,E24)</f>
        <v>337324.29067336506</v>
      </c>
      <c r="L24" s="61">
        <f>'Lewellen_Irrigation Season'!M24+'NorthPlatte_IRR Season'!W24+'Odessa_Irrigation Season'!AB24+'SPlatte_Irrigation Season'!Q24</f>
        <v>328381.61999578273</v>
      </c>
      <c r="M24" s="61">
        <f t="shared" si="5"/>
        <v>35770.881008170065</v>
      </c>
      <c r="N24" s="61">
        <f>MAX('Odessa_Irrigation Season'!W24,'GIsland_Irrigation Season'!N24,'Duncan_Irrigation Season'!N24)</f>
        <v>30310.336016625239</v>
      </c>
      <c r="O24" s="61">
        <f>MAX('NorthPlatte_IRR Season'!U24+'SPlatte_Irrigation Season'!O24,'NorthPlatte_IRR Season'!V24+'SPlatte_Irrigation Season'!P24,'Odessa_Irrigation Season'!T24,'Odessa_Irrigation Season'!AA24)</f>
        <v>193945.16994883455</v>
      </c>
      <c r="P24" s="61">
        <f>[5]PlatteBWSproportions!$C$12*([2]SWDemand!T30+[2]SWDemand!U30)+MAX([5]PlatteBWSproportions!G25,[5]PlatteBWSproportions!K25,[5]PlatteBWSproportions!$C$12*[2]InducedRchrg!$B$11)</f>
        <v>45184.361108735131</v>
      </c>
      <c r="Q24" s="62">
        <f>'NorthPlatte_IRR Season'!AB24</f>
        <v>0</v>
      </c>
      <c r="R24" s="62">
        <f t="shared" si="6"/>
        <v>193945.16994883455</v>
      </c>
      <c r="S24" s="82"/>
      <c r="T24" s="73">
        <f t="shared" si="1"/>
        <v>1095928.1145231023</v>
      </c>
      <c r="U24" s="73">
        <f t="shared" si="2"/>
        <v>1211280.5221643923</v>
      </c>
      <c r="W24" s="73">
        <f t="shared" si="3"/>
        <v>-681573.53529009409</v>
      </c>
      <c r="X24" s="73">
        <f t="shared" si="4"/>
        <v>-796925.94293138408</v>
      </c>
    </row>
    <row r="25" spans="1:24" x14ac:dyDescent="0.25">
      <c r="A25" s="38">
        <v>2005</v>
      </c>
      <c r="B25" s="146">
        <f>'[1]Capped Flow'!V24</f>
        <v>104712.97320000001</v>
      </c>
      <c r="C25" s="43">
        <f>'Lewellen_Irrigation Season'!C25+'NorthPlatte_IRR Season'!F25+'Odessa_Irrigation Season'!F25+'SPlatte_Irrigation Season'!E25</f>
        <v>147674.70640645514</v>
      </c>
      <c r="D25" s="43">
        <f>'Lewellen_Irrigation Season'!D25+'NorthPlatte_IRR Season'!E25+'Odessa_Irrigation Season'!G25+'SPlatte_Irrigation Season'!F25</f>
        <v>32482.528379748386</v>
      </c>
      <c r="E25" s="43">
        <f>'Lewellen_Irrigation Season'!E25+'NorthPlatte_IRR Season'!H25+'Odessa_Irrigation Season'!H25+'GIsland_Irrigation Season'!E25+'Duncan_Irrigation Season'!E25+'SPlatte_Irrigation Season'!G25</f>
        <v>211784.87413811186</v>
      </c>
      <c r="F25" s="21"/>
      <c r="G25" s="159">
        <f t="shared" si="0"/>
        <v>496655.08212431544</v>
      </c>
      <c r="H25" s="81"/>
      <c r="I25" s="146">
        <f>'Lewellen_Irrigation Season'!I25+'NorthPlatte_IRR Season'!P25+'Odessa_Irrigation Season'!N25+'Odessa_Irrigation Season'!R25+'Odessa_Irrigation Season'!Y25+'SPlatte_Irrigation Season'!K25</f>
        <v>288417.64428696095</v>
      </c>
      <c r="J25" s="146">
        <f>'NorthPlatte_IRR Season'!R25+'Odessa_Irrigation Season'!O25+'GIsland_Irrigation Season'!L25+'Duncan_Irrigation Season'!L25+'SPlatte_Irrigation Season'!L25</f>
        <v>13244.12</v>
      </c>
      <c r="K25" s="43">
        <f>MAX('Lewellen_Irrigation Season'!J25+'NorthPlatte_IRR Season'!S25+'Odessa_Irrigation Season'!P25+'GIsland_Irrigation Season'!K25+'Duncan_Irrigation Season'!K25+'SPlatte_Irrigation Season'!M25,E25)</f>
        <v>371104.20415232802</v>
      </c>
      <c r="L25" s="61">
        <f>'Lewellen_Irrigation Season'!M25+'NorthPlatte_IRR Season'!W25+'Odessa_Irrigation Season'!AB25+'SPlatte_Irrigation Season'!Q25</f>
        <v>353052.60998687305</v>
      </c>
      <c r="M25" s="61">
        <f t="shared" si="5"/>
        <v>32482.528379748386</v>
      </c>
      <c r="N25" s="61">
        <f>MAX('Odessa_Irrigation Season'!W25,'GIsland_Irrigation Season'!N25,'Duncan_Irrigation Season'!N25)</f>
        <v>55699.772232559859</v>
      </c>
      <c r="O25" s="61">
        <f>MAX('NorthPlatte_IRR Season'!U25+'SPlatte_Irrigation Season'!O25,'NorthPlatte_IRR Season'!V25+'SPlatte_Irrigation Season'!P25,'Odessa_Irrigation Season'!T25,'Odessa_Irrigation Season'!AA25)</f>
        <v>263251.80171685037</v>
      </c>
      <c r="P25" s="61">
        <f>[5]PlatteBWSproportions!$C$12*([2]SWDemand!T31+[2]SWDemand!U31)+MAX([5]PlatteBWSproportions!G26,[5]PlatteBWSproportions!K26,[5]PlatteBWSproportions!$C$12*[2]InducedRchrg!$B$11)</f>
        <v>49412.058412816797</v>
      </c>
      <c r="Q25" s="62">
        <f>'NorthPlatte_IRR Season'!AB25</f>
        <v>82100</v>
      </c>
      <c r="R25" s="62">
        <f t="shared" si="6"/>
        <v>263251.80171685037</v>
      </c>
      <c r="S25" s="82"/>
      <c r="T25" s="73">
        <f t="shared" si="1"/>
        <v>1080133.5785085447</v>
      </c>
      <c r="U25" s="73">
        <f t="shared" si="2"/>
        <v>1239452.908522761</v>
      </c>
      <c r="W25" s="73">
        <f t="shared" si="3"/>
        <v>-583478.49638422928</v>
      </c>
      <c r="X25" s="73">
        <f t="shared" si="4"/>
        <v>-742797.82639844553</v>
      </c>
    </row>
    <row r="26" spans="1:24" x14ac:dyDescent="0.25">
      <c r="A26" s="38">
        <v>2006</v>
      </c>
      <c r="B26" s="146">
        <f>'[1]Capped Flow'!V25</f>
        <v>6675.6690000000008</v>
      </c>
      <c r="C26" s="43">
        <f>'Lewellen_Irrigation Season'!C26+'NorthPlatte_IRR Season'!F26+'Odessa_Irrigation Season'!F26+'SPlatte_Irrigation Season'!E26</f>
        <v>123673.80440649994</v>
      </c>
      <c r="D26" s="43">
        <f>'Lewellen_Irrigation Season'!D26+'NorthPlatte_IRR Season'!E26+'Odessa_Irrigation Season'!G26+'SPlatte_Irrigation Season'!F26</f>
        <v>41381.417129708352</v>
      </c>
      <c r="E26" s="43">
        <f>'Lewellen_Irrigation Season'!E26+'NorthPlatte_IRR Season'!H26+'Odessa_Irrigation Season'!H26+'GIsland_Irrigation Season'!E26+'Duncan_Irrigation Season'!E26+'SPlatte_Irrigation Season'!G26</f>
        <v>216578.19016279117</v>
      </c>
      <c r="F26" s="21"/>
      <c r="G26" s="159">
        <f t="shared" si="0"/>
        <v>388309.08069899946</v>
      </c>
      <c r="H26" s="81"/>
      <c r="I26" s="146">
        <f>'Lewellen_Irrigation Season'!I26+'NorthPlatte_IRR Season'!P26+'Odessa_Irrigation Season'!N26+'Odessa_Irrigation Season'!R26+'Odessa_Irrigation Season'!Y26+'SPlatte_Irrigation Season'!K26</f>
        <v>237492.54551332546</v>
      </c>
      <c r="J26" s="146">
        <f>'NorthPlatte_IRR Season'!R26+'Odessa_Irrigation Season'!O26+'GIsland_Irrigation Season'!L26+'Duncan_Irrigation Season'!L26+'SPlatte_Irrigation Season'!L26</f>
        <v>13244.12</v>
      </c>
      <c r="K26" s="43">
        <f>MAX('Lewellen_Irrigation Season'!J26+'NorthPlatte_IRR Season'!S26+'Odessa_Irrigation Season'!P26+'GIsland_Irrigation Season'!K26+'Duncan_Irrigation Season'!K26+'SPlatte_Irrigation Season'!M26,E26)</f>
        <v>355111.43435002759</v>
      </c>
      <c r="L26" s="61">
        <f>'Lewellen_Irrigation Season'!M26+'NorthPlatte_IRR Season'!W26+'Odessa_Irrigation Season'!AB26+'SPlatte_Irrigation Season'!Q26</f>
        <v>355723.51999598293</v>
      </c>
      <c r="M26" s="61">
        <f t="shared" si="5"/>
        <v>41381.417129708352</v>
      </c>
      <c r="N26" s="61">
        <f>MAX('Odessa_Irrigation Season'!W26,'GIsland_Irrigation Season'!N26,'Duncan_Irrigation Season'!N26)</f>
        <v>21402.06037449291</v>
      </c>
      <c r="O26" s="61">
        <f>MAX('NorthPlatte_IRR Season'!U26+'SPlatte_Irrigation Season'!O26,'NorthPlatte_IRR Season'!V26+'SPlatte_Irrigation Season'!P26,'Odessa_Irrigation Season'!T26,'Odessa_Irrigation Season'!AA26)</f>
        <v>265582.6731773658</v>
      </c>
      <c r="P26" s="61">
        <f>[5]PlatteBWSproportions!$C$12*([2]SWDemand!T32+[2]SWDemand!U32)+MAX([5]PlatteBWSproportions!G27,[5]PlatteBWSproportions!K27,[5]PlatteBWSproportions!$C$12*[2]InducedRchrg!$B$11)</f>
        <v>37241.973501740031</v>
      </c>
      <c r="Q26" s="62">
        <f>'NorthPlatte_IRR Season'!AB26</f>
        <v>0</v>
      </c>
      <c r="R26" s="62">
        <f t="shared" si="6"/>
        <v>265582.6731773658</v>
      </c>
      <c r="S26" s="82"/>
      <c r="T26" s="73">
        <f t="shared" si="1"/>
        <v>1130002.4659791738</v>
      </c>
      <c r="U26" s="73">
        <f t="shared" si="2"/>
        <v>1268535.7101664105</v>
      </c>
      <c r="W26" s="73">
        <f t="shared" si="3"/>
        <v>-741693.38528017432</v>
      </c>
      <c r="X26" s="73">
        <f t="shared" si="4"/>
        <v>-880226.62946741108</v>
      </c>
    </row>
    <row r="27" spans="1:24" x14ac:dyDescent="0.25">
      <c r="A27" s="38">
        <v>2007</v>
      </c>
      <c r="B27" s="146">
        <f>'[1]Capped Flow'!V26</f>
        <v>347998.85999999993</v>
      </c>
      <c r="C27" s="43">
        <f>'Lewellen_Irrigation Season'!C27+'NorthPlatte_IRR Season'!F27+'Odessa_Irrigation Season'!F27+'SPlatte_Irrigation Season'!E27</f>
        <v>123287.32996049998</v>
      </c>
      <c r="D27" s="43">
        <f>'Lewellen_Irrigation Season'!D27+'NorthPlatte_IRR Season'!E27+'Odessa_Irrigation Season'!G27+'SPlatte_Irrigation Season'!F27</f>
        <v>40670.245240419681</v>
      </c>
      <c r="E27" s="43">
        <f>'Lewellen_Irrigation Season'!E27+'NorthPlatte_IRR Season'!H27+'Odessa_Irrigation Season'!H27+'GIsland_Irrigation Season'!E27+'Duncan_Irrigation Season'!E27+'SPlatte_Irrigation Season'!G27</f>
        <v>219619.90887897508</v>
      </c>
      <c r="F27" s="21"/>
      <c r="G27" s="159">
        <f t="shared" si="0"/>
        <v>731576.34407989471</v>
      </c>
      <c r="H27" s="81"/>
      <c r="I27" s="146">
        <f>'Lewellen_Irrigation Season'!I27+'NorthPlatte_IRR Season'!P27+'Odessa_Irrigation Season'!N27+'Odessa_Irrigation Season'!R27+'Odessa_Irrigation Season'!Y27+'SPlatte_Irrigation Season'!K27</f>
        <v>242524.97424668458</v>
      </c>
      <c r="J27" s="146">
        <f>'NorthPlatte_IRR Season'!R27+'Odessa_Irrigation Season'!O27+'GIsland_Irrigation Season'!L27+'Duncan_Irrigation Season'!L27+'SPlatte_Irrigation Season'!L27</f>
        <v>13244.12</v>
      </c>
      <c r="K27" s="43">
        <f>MAX('Lewellen_Irrigation Season'!J27+'NorthPlatte_IRR Season'!S27+'Odessa_Irrigation Season'!P27+'GIsland_Irrigation Season'!K27+'Duncan_Irrigation Season'!K27+'SPlatte_Irrigation Season'!M27,E27)</f>
        <v>296601.2034630315</v>
      </c>
      <c r="L27" s="61">
        <f>'Lewellen_Irrigation Season'!M27+'NorthPlatte_IRR Season'!W27+'Odessa_Irrigation Season'!AB27+'SPlatte_Irrigation Season'!Q27</f>
        <v>362525.63999885297</v>
      </c>
      <c r="M27" s="61">
        <f t="shared" si="5"/>
        <v>40670.245240419681</v>
      </c>
      <c r="N27" s="61">
        <f>MAX('Odessa_Irrigation Season'!W27,'GIsland_Irrigation Season'!N27,'Duncan_Irrigation Season'!N27)</f>
        <v>85994.571531324589</v>
      </c>
      <c r="O27" s="61">
        <f>MAX('NorthPlatte_IRR Season'!U27+'SPlatte_Irrigation Season'!O27,'NorthPlatte_IRR Season'!V27+'SPlatte_Irrigation Season'!P27,'Odessa_Irrigation Season'!T27,'Odessa_Irrigation Season'!AA27)</f>
        <v>252377.27224024665</v>
      </c>
      <c r="P27" s="61">
        <f>[5]PlatteBWSproportions!$C$12*([2]SWDemand!T33+[2]SWDemand!U33)+MAX([5]PlatteBWSproportions!G28,[5]PlatteBWSproportions!K28,[5]PlatteBWSproportions!$C$12*[2]InducedRchrg!$B$11)</f>
        <v>57910.994999150658</v>
      </c>
      <c r="Q27" s="62">
        <f>'NorthPlatte_IRR Season'!AB27</f>
        <v>92000</v>
      </c>
      <c r="R27" s="62">
        <f t="shared" si="6"/>
        <v>252377.27224024665</v>
      </c>
      <c r="S27" s="82"/>
      <c r="T27" s="73">
        <f t="shared" si="1"/>
        <v>1038962.160605179</v>
      </c>
      <c r="U27" s="73">
        <f t="shared" si="2"/>
        <v>1115943.4551892355</v>
      </c>
      <c r="W27" s="73">
        <f t="shared" si="3"/>
        <v>-307385.81652528432</v>
      </c>
      <c r="X27" s="73">
        <f t="shared" si="4"/>
        <v>-384367.1111093408</v>
      </c>
    </row>
    <row r="28" spans="1:24" x14ac:dyDescent="0.25">
      <c r="A28" s="38">
        <v>2008</v>
      </c>
      <c r="B28" s="146">
        <f>'[1]Capped Flow'!V27</f>
        <v>372063.78000000009</v>
      </c>
      <c r="C28" s="43">
        <f>'Lewellen_Irrigation Season'!C28+'NorthPlatte_IRR Season'!F28+'Odessa_Irrigation Season'!F28+'SPlatte_Irrigation Season'!E28</f>
        <v>125433.89692150001</v>
      </c>
      <c r="D28" s="43">
        <f>'Lewellen_Irrigation Season'!D28+'NorthPlatte_IRR Season'!E28+'Odessa_Irrigation Season'!G28+'SPlatte_Irrigation Season'!F28</f>
        <v>42911.766728256393</v>
      </c>
      <c r="E28" s="43">
        <f>'Lewellen_Irrigation Season'!E28+'NorthPlatte_IRR Season'!H28+'Odessa_Irrigation Season'!H28+'GIsland_Irrigation Season'!E28+'Duncan_Irrigation Season'!E28+'SPlatte_Irrigation Season'!G28</f>
        <v>220214.5609858628</v>
      </c>
      <c r="F28" s="21"/>
      <c r="G28" s="159">
        <f t="shared" si="0"/>
        <v>760624.00463561923</v>
      </c>
      <c r="H28" s="81"/>
      <c r="I28" s="146">
        <f>'Lewellen_Irrigation Season'!I28+'NorthPlatte_IRR Season'!P28+'Odessa_Irrigation Season'!N28+'Odessa_Irrigation Season'!R28+'Odessa_Irrigation Season'!Y28+'SPlatte_Irrigation Season'!K28</f>
        <v>228088.30125553682</v>
      </c>
      <c r="J28" s="146">
        <f>'NorthPlatte_IRR Season'!R28+'Odessa_Irrigation Season'!O28+'GIsland_Irrigation Season'!L28+'Duncan_Irrigation Season'!L28+'SPlatte_Irrigation Season'!L28</f>
        <v>13244.12</v>
      </c>
      <c r="K28" s="43">
        <f>MAX('Lewellen_Irrigation Season'!J28+'NorthPlatte_IRR Season'!S28+'Odessa_Irrigation Season'!P28+'GIsland_Irrigation Season'!K28+'Duncan_Irrigation Season'!K28+'SPlatte_Irrigation Season'!M28,E28)</f>
        <v>471495.62697445648</v>
      </c>
      <c r="L28" s="61">
        <f>'Lewellen_Irrigation Season'!M28+'NorthPlatte_IRR Season'!W28+'Odessa_Irrigation Season'!AB28+'SPlatte_Irrigation Season'!Q28</f>
        <v>354770.38999633293</v>
      </c>
      <c r="M28" s="61">
        <f t="shared" si="5"/>
        <v>42911.766728256393</v>
      </c>
      <c r="N28" s="61">
        <f>MAX('Odessa_Irrigation Season'!W28,'GIsland_Irrigation Season'!N28,'Duncan_Irrigation Season'!N28)</f>
        <v>80221.936405650515</v>
      </c>
      <c r="O28" s="61">
        <f>MAX('NorthPlatte_IRR Season'!U28+'SPlatte_Irrigation Season'!O28,'NorthPlatte_IRR Season'!V28+'SPlatte_Irrigation Season'!P28,'Odessa_Irrigation Season'!T28,'Odessa_Irrigation Season'!AA28)</f>
        <v>213941.644134045</v>
      </c>
      <c r="P28" s="61">
        <f>[5]PlatteBWSproportions!$C$12*([2]SWDemand!T34+[2]SWDemand!U34)+MAX([5]PlatteBWSproportions!G29,[5]PlatteBWSproportions!K29,[5]PlatteBWSproportions!$C$12*[2]InducedRchrg!$B$11)</f>
        <v>43523.19098685278</v>
      </c>
      <c r="Q28" s="62">
        <f>'NorthPlatte_IRR Season'!AB28</f>
        <v>122400</v>
      </c>
      <c r="R28" s="62">
        <f t="shared" si="6"/>
        <v>213941.644134045</v>
      </c>
      <c r="S28" s="82"/>
      <c r="T28" s="73">
        <f t="shared" si="1"/>
        <v>950770.78310003388</v>
      </c>
      <c r="U28" s="73">
        <f t="shared" si="2"/>
        <v>1202051.8490886278</v>
      </c>
      <c r="W28" s="73">
        <f t="shared" si="3"/>
        <v>-190146.77846441464</v>
      </c>
      <c r="X28" s="73">
        <f t="shared" si="4"/>
        <v>-441427.84445300861</v>
      </c>
    </row>
    <row r="29" spans="1:24" x14ac:dyDescent="0.25">
      <c r="A29" s="38">
        <v>2009</v>
      </c>
      <c r="B29" s="146">
        <f>'[1]Capped Flow'!V28</f>
        <v>222803.45999999996</v>
      </c>
      <c r="C29" s="43">
        <f>'Lewellen_Irrigation Season'!C29+'NorthPlatte_IRR Season'!F29+'Odessa_Irrigation Season'!F29+'SPlatte_Irrigation Season'!E29</f>
        <v>101548.47417899995</v>
      </c>
      <c r="D29" s="43">
        <f>'Lewellen_Irrigation Season'!D29+'NorthPlatte_IRR Season'!E29+'Odessa_Irrigation Season'!G29+'SPlatte_Irrigation Season'!F29</f>
        <v>27356.258363546756</v>
      </c>
      <c r="E29" s="43">
        <f>'Lewellen_Irrigation Season'!E29+'NorthPlatte_IRR Season'!H29+'Odessa_Irrigation Season'!H29+'GIsland_Irrigation Season'!E29+'Duncan_Irrigation Season'!E29+'SPlatte_Irrigation Season'!G29</f>
        <v>200448.40092376914</v>
      </c>
      <c r="F29" s="21"/>
      <c r="G29" s="159">
        <f t="shared" si="0"/>
        <v>552156.59346631577</v>
      </c>
      <c r="H29" s="81"/>
      <c r="I29" s="146">
        <f>'Lewellen_Irrigation Season'!I29+'NorthPlatte_IRR Season'!P29+'Odessa_Irrigation Season'!N29+'Odessa_Irrigation Season'!R29+'Odessa_Irrigation Season'!Y29+'SPlatte_Irrigation Season'!K29</f>
        <v>176892.93318698794</v>
      </c>
      <c r="J29" s="146">
        <f>'NorthPlatte_IRR Season'!R29+'Odessa_Irrigation Season'!O29+'GIsland_Irrigation Season'!L29+'Duncan_Irrigation Season'!L29+'SPlatte_Irrigation Season'!L29</f>
        <v>13244.12</v>
      </c>
      <c r="K29" s="43">
        <f>MAX('Lewellen_Irrigation Season'!J29+'NorthPlatte_IRR Season'!S29+'Odessa_Irrigation Season'!P29+'GIsland_Irrigation Season'!K29+'Duncan_Irrigation Season'!K29+'SPlatte_Irrigation Season'!M29,E29)</f>
        <v>433727.76590313914</v>
      </c>
      <c r="L29" s="61">
        <f>'Lewellen_Irrigation Season'!M29+'NorthPlatte_IRR Season'!W29+'Odessa_Irrigation Season'!AB29+'SPlatte_Irrigation Season'!Q29</f>
        <v>355789.58998883318</v>
      </c>
      <c r="M29" s="61">
        <f t="shared" si="5"/>
        <v>27356.258363546756</v>
      </c>
      <c r="N29" s="61">
        <f>MAX('Odessa_Irrigation Season'!W29,'GIsland_Irrigation Season'!N29,'Duncan_Irrigation Season'!N29)</f>
        <v>88826.203108090514</v>
      </c>
      <c r="O29" s="61">
        <f>MAX('NorthPlatte_IRR Season'!U29+'SPlatte_Irrigation Season'!O29,'NorthPlatte_IRR Season'!V29+'SPlatte_Irrigation Season'!P29,'Odessa_Irrigation Season'!T29,'Odessa_Irrigation Season'!AA29)</f>
        <v>346104</v>
      </c>
      <c r="P29" s="61">
        <f>[5]PlatteBWSproportions!$C$12*([2]SWDemand!T35+[2]SWDemand!U35)+MAX([5]PlatteBWSproportions!G30,[5]PlatteBWSproportions!K30,[5]PlatteBWSproportions!$C$12*[2]InducedRchrg!$B$11)</f>
        <v>63291.053104920924</v>
      </c>
      <c r="Q29" s="62">
        <f>'NorthPlatte_IRR Season'!AB29</f>
        <v>286000</v>
      </c>
      <c r="R29" s="62">
        <f t="shared" si="6"/>
        <v>346104</v>
      </c>
      <c r="S29" s="82"/>
      <c r="T29" s="73">
        <f t="shared" si="1"/>
        <v>833835.30246313696</v>
      </c>
      <c r="U29" s="73">
        <f t="shared" si="2"/>
        <v>1067114.6674425069</v>
      </c>
      <c r="W29" s="73">
        <f t="shared" si="3"/>
        <v>-281678.70899682119</v>
      </c>
      <c r="X29" s="73">
        <f t="shared" si="4"/>
        <v>-514958.07397619111</v>
      </c>
    </row>
    <row r="30" spans="1:24" x14ac:dyDescent="0.25">
      <c r="A30" s="38">
        <v>2010</v>
      </c>
      <c r="B30" s="146">
        <f>'[1]Capped Flow'!V29</f>
        <v>655235.45999999973</v>
      </c>
      <c r="C30" s="43">
        <f>'Lewellen_Irrigation Season'!C30+'NorthPlatte_IRR Season'!F30+'Odessa_Irrigation Season'!F30+'SPlatte_Irrigation Season'!E30</f>
        <v>121065.87629450001</v>
      </c>
      <c r="D30" s="43">
        <f>'Lewellen_Irrigation Season'!D30+'NorthPlatte_IRR Season'!E30+'Odessa_Irrigation Season'!G30+'SPlatte_Irrigation Season'!F30</f>
        <v>42747.51914662031</v>
      </c>
      <c r="E30" s="43">
        <f>'Lewellen_Irrigation Season'!E30+'NorthPlatte_IRR Season'!H30+'Odessa_Irrigation Season'!H30+'GIsland_Irrigation Season'!E30+'Duncan_Irrigation Season'!E30+'SPlatte_Irrigation Season'!G30</f>
        <v>198292.17190785549</v>
      </c>
      <c r="F30" s="21"/>
      <c r="G30" s="159">
        <f t="shared" si="0"/>
        <v>1017341.0273489754</v>
      </c>
      <c r="H30" s="81"/>
      <c r="I30" s="146">
        <f>'Lewellen_Irrigation Season'!I30+'NorthPlatte_IRR Season'!P30+'Odessa_Irrigation Season'!N30+'Odessa_Irrigation Season'!R30+'Odessa_Irrigation Season'!Y30+'SPlatte_Irrigation Season'!K30</f>
        <v>219902.10960723434</v>
      </c>
      <c r="J30" s="146">
        <f>'NorthPlatte_IRR Season'!R30+'Odessa_Irrigation Season'!O30+'GIsland_Irrigation Season'!L30+'Duncan_Irrigation Season'!L30+'SPlatte_Irrigation Season'!L30</f>
        <v>13244.12</v>
      </c>
      <c r="K30" s="43">
        <f>MAX('Lewellen_Irrigation Season'!J30+'NorthPlatte_IRR Season'!S30+'Odessa_Irrigation Season'!P30+'GIsland_Irrigation Season'!K30+'Duncan_Irrigation Season'!K30+'SPlatte_Irrigation Season'!M30,E30)</f>
        <v>473031.07539528928</v>
      </c>
      <c r="L30" s="61">
        <f>'Lewellen_Irrigation Season'!M30+'NorthPlatte_IRR Season'!W30+'Odessa_Irrigation Season'!AB30+'SPlatte_Irrigation Season'!Q30</f>
        <v>386761.2900012731</v>
      </c>
      <c r="M30" s="61">
        <f t="shared" si="5"/>
        <v>42747.51914662031</v>
      </c>
      <c r="N30" s="61">
        <f>MAX('Odessa_Irrigation Season'!W30,'GIsland_Irrigation Season'!N30,'Duncan_Irrigation Season'!N30)</f>
        <v>111110.81915341198</v>
      </c>
      <c r="O30" s="61">
        <f>MAX('NorthPlatte_IRR Season'!U30+'SPlatte_Irrigation Season'!O30,'NorthPlatte_IRR Season'!V30+'SPlatte_Irrigation Season'!P30,'Odessa_Irrigation Season'!T30,'Odessa_Irrigation Season'!AA30)</f>
        <v>346104</v>
      </c>
      <c r="P30" s="61">
        <f>[5]PlatteBWSproportions!$C$12*([2]SWDemand!T36+[2]SWDemand!U36)+MAX([5]PlatteBWSproportions!G31,[5]PlatteBWSproportions!K31,[5]PlatteBWSproportions!$C$12*[2]InducedRchrg!$B$11)</f>
        <v>61888.450889838823</v>
      </c>
      <c r="Q30" s="62">
        <f>'NorthPlatte_IRR Season'!AB30</f>
        <v>423200</v>
      </c>
      <c r="R30" s="62">
        <f t="shared" si="6"/>
        <v>346104</v>
      </c>
      <c r="S30" s="82"/>
      <c r="T30" s="73">
        <f t="shared" si="1"/>
        <v>783851.21066298324</v>
      </c>
      <c r="U30" s="73">
        <f t="shared" si="2"/>
        <v>1058590.114150417</v>
      </c>
      <c r="W30" s="73">
        <f t="shared" si="3"/>
        <v>233489.81668599218</v>
      </c>
      <c r="X30" s="73">
        <f t="shared" si="4"/>
        <v>-41249.086801441619</v>
      </c>
    </row>
    <row r="31" spans="1:24" x14ac:dyDescent="0.25">
      <c r="A31" s="38">
        <v>2011</v>
      </c>
      <c r="B31" s="146">
        <f>'[1]Capped Flow'!V30</f>
        <v>426587.04000000004</v>
      </c>
      <c r="C31" s="43">
        <f>'Lewellen_Irrigation Season'!C31+'NorthPlatte_IRR Season'!F31+'Odessa_Irrigation Season'!F31+'SPlatte_Irrigation Season'!E31</f>
        <v>123050.96944000002</v>
      </c>
      <c r="D31" s="43">
        <f>'Lewellen_Irrigation Season'!D31+'NorthPlatte_IRR Season'!E31+'Odessa_Irrigation Season'!G31+'SPlatte_Irrigation Season'!F31</f>
        <v>19241.418578030327</v>
      </c>
      <c r="E31" s="43">
        <f>'Lewellen_Irrigation Season'!E31+'NorthPlatte_IRR Season'!H31+'Odessa_Irrigation Season'!H31+'GIsland_Irrigation Season'!E31+'Duncan_Irrigation Season'!E31+'SPlatte_Irrigation Season'!G31</f>
        <v>190125.00427217365</v>
      </c>
      <c r="F31" s="21"/>
      <c r="G31" s="159">
        <f t="shared" si="0"/>
        <v>759004.43229020399</v>
      </c>
      <c r="H31" s="81"/>
      <c r="I31" s="146">
        <f>'Lewellen_Irrigation Season'!I31+'NorthPlatte_IRR Season'!P31+'Odessa_Irrigation Season'!N31+'Odessa_Irrigation Season'!R31+'Odessa_Irrigation Season'!Y31+'SPlatte_Irrigation Season'!K31</f>
        <v>230781.6842531455</v>
      </c>
      <c r="J31" s="146">
        <f>'NorthPlatte_IRR Season'!R31+'Odessa_Irrigation Season'!O31+'GIsland_Irrigation Season'!L31+'Duncan_Irrigation Season'!L31+'SPlatte_Irrigation Season'!L31</f>
        <v>13244.12</v>
      </c>
      <c r="K31" s="43">
        <f>MAX('Lewellen_Irrigation Season'!J31+'NorthPlatte_IRR Season'!S31+'Odessa_Irrigation Season'!P31+'GIsland_Irrigation Season'!K31+'Duncan_Irrigation Season'!K31+'SPlatte_Irrigation Season'!M31,E31)</f>
        <v>484924.1140440437</v>
      </c>
      <c r="L31" s="61">
        <f>'Lewellen_Irrigation Season'!M31+'NorthPlatte_IRR Season'!W31+'Odessa_Irrigation Season'!AB31+'SPlatte_Irrigation Season'!Q31</f>
        <v>379275.97999987111</v>
      </c>
      <c r="M31" s="61">
        <f t="shared" si="5"/>
        <v>19241.418578030327</v>
      </c>
      <c r="N31" s="61">
        <f>MAX('Odessa_Irrigation Season'!W31,'GIsland_Irrigation Season'!N31,'Duncan_Irrigation Season'!N31)</f>
        <v>93854.931633306041</v>
      </c>
      <c r="O31" s="61">
        <f>MAX('NorthPlatte_IRR Season'!U31+'SPlatte_Irrigation Season'!O31,'NorthPlatte_IRR Season'!V31+'SPlatte_Irrigation Season'!P31,'Odessa_Irrigation Season'!T31,'Odessa_Irrigation Season'!AA31)</f>
        <v>346104</v>
      </c>
      <c r="P31" s="61">
        <f>[5]PlatteBWSproportions!$C$12*([2]SWDemand!T37+[2]SWDemand!U37)+MAX([5]PlatteBWSproportions!G32,[5]PlatteBWSproportions!K32,[5]PlatteBWSproportions!$C$12*[2]InducedRchrg!$B$11)</f>
        <v>75938.550245249251</v>
      </c>
      <c r="Q31" s="62">
        <f>'NorthPlatte_IRR Season'!AB31</f>
        <v>19900</v>
      </c>
      <c r="R31" s="62">
        <f t="shared" si="6"/>
        <v>346104</v>
      </c>
      <c r="S31" s="82"/>
      <c r="T31" s="73">
        <f t="shared" si="1"/>
        <v>1158872.2071032207</v>
      </c>
      <c r="U31" s="73">
        <f t="shared" si="2"/>
        <v>1453671.3168750906</v>
      </c>
      <c r="W31" s="73">
        <f t="shared" si="3"/>
        <v>-399867.77481301676</v>
      </c>
      <c r="X31" s="73">
        <f t="shared" si="4"/>
        <v>-694666.8845848866</v>
      </c>
    </row>
    <row r="32" spans="1:24" x14ac:dyDescent="0.25">
      <c r="A32" s="38">
        <v>2012</v>
      </c>
      <c r="B32" s="146">
        <f>'[1]Capped Flow'!V31</f>
        <v>739233.00000000023</v>
      </c>
      <c r="C32" s="43">
        <f>'Lewellen_Irrigation Season'!C32+'NorthPlatte_IRR Season'!F32+'Odessa_Irrigation Season'!F32+'SPlatte_Irrigation Season'!E32</f>
        <v>174348.24192350003</v>
      </c>
      <c r="D32" s="43">
        <f>'Lewellen_Irrigation Season'!D32+'NorthPlatte_IRR Season'!E32+'Odessa_Irrigation Season'!G32+'SPlatte_Irrigation Season'!F32</f>
        <v>12936.655585904417</v>
      </c>
      <c r="E32" s="43">
        <f>'Lewellen_Irrigation Season'!E32+'NorthPlatte_IRR Season'!H32+'Odessa_Irrigation Season'!H32+'GIsland_Irrigation Season'!E32+'Duncan_Irrigation Season'!E32+'SPlatte_Irrigation Season'!G32</f>
        <v>226906.01377312173</v>
      </c>
      <c r="F32" s="21"/>
      <c r="G32" s="159">
        <f t="shared" si="0"/>
        <v>1153423.9112825263</v>
      </c>
      <c r="H32" s="81"/>
      <c r="I32" s="146">
        <f>'Lewellen_Irrigation Season'!I32+'NorthPlatte_IRR Season'!P32+'Odessa_Irrigation Season'!N32+'Odessa_Irrigation Season'!R32+'Odessa_Irrigation Season'!Y32+'SPlatte_Irrigation Season'!K32</f>
        <v>345365.6446910174</v>
      </c>
      <c r="J32" s="146">
        <f>'NorthPlatte_IRR Season'!R32+'Odessa_Irrigation Season'!O32+'GIsland_Irrigation Season'!L32+'Duncan_Irrigation Season'!L32+'SPlatte_Irrigation Season'!L32</f>
        <v>13244.12</v>
      </c>
      <c r="K32" s="43">
        <f>MAX('Lewellen_Irrigation Season'!J32+'NorthPlatte_IRR Season'!S32+'Odessa_Irrigation Season'!P32+'GIsland_Irrigation Season'!K32+'Duncan_Irrigation Season'!K32+'SPlatte_Irrigation Season'!M32,E32)</f>
        <v>561182.05622937554</v>
      </c>
      <c r="L32" s="61">
        <f>'Lewellen_Irrigation Season'!M32+'NorthPlatte_IRR Season'!W32+'Odessa_Irrigation Season'!AB32+'SPlatte_Irrigation Season'!Q32</f>
        <v>411896.48999792081</v>
      </c>
      <c r="M32" s="61">
        <f t="shared" si="5"/>
        <v>12936.655585904417</v>
      </c>
      <c r="N32" s="61">
        <f>MAX('Odessa_Irrigation Season'!W32,'GIsland_Irrigation Season'!N32,'Duncan_Irrigation Season'!N32)</f>
        <v>23618.816545622947</v>
      </c>
      <c r="O32" s="61">
        <f>MAX('NorthPlatte_IRR Season'!U32+'SPlatte_Irrigation Season'!O32,'NorthPlatte_IRR Season'!V32+'SPlatte_Irrigation Season'!P32,'Odessa_Irrigation Season'!T32,'Odessa_Irrigation Season'!AA32)</f>
        <v>238671.34208140013</v>
      </c>
      <c r="P32" s="61">
        <f>[5]PlatteBWSproportions!$C$12*([2]SWDemand!T38+[2]SWDemand!U38)+MAX([5]PlatteBWSproportions!G33,[5]PlatteBWSproportions!K33,[5]PlatteBWSproportions!$C$12*[2]InducedRchrg!$B$11)</f>
        <v>39698.555207365585</v>
      </c>
      <c r="Q32" s="62">
        <f>'NorthPlatte_IRR Season'!AB32</f>
        <v>0</v>
      </c>
      <c r="R32" s="62">
        <f t="shared" si="6"/>
        <v>238671.34208140013</v>
      </c>
      <c r="S32" s="82"/>
      <c r="T32" s="73">
        <f t="shared" si="1"/>
        <v>1249020.2661293645</v>
      </c>
      <c r="U32" s="73">
        <f t="shared" si="2"/>
        <v>1583296.3085856184</v>
      </c>
      <c r="W32" s="73">
        <f t="shared" si="3"/>
        <v>-95596.354846838163</v>
      </c>
      <c r="X32" s="73">
        <f t="shared" si="4"/>
        <v>-429872.39730309206</v>
      </c>
    </row>
    <row r="33" spans="1:24" x14ac:dyDescent="0.25">
      <c r="A33" s="14"/>
      <c r="B33" s="41"/>
      <c r="C33" s="80"/>
      <c r="D33" s="80"/>
      <c r="E33" s="80"/>
      <c r="F33" s="21"/>
      <c r="G33" s="41"/>
      <c r="H33" s="86"/>
      <c r="I33" s="35"/>
      <c r="J33" s="35"/>
      <c r="K33" s="80"/>
      <c r="L33" s="29"/>
      <c r="M33" s="29"/>
      <c r="N33" s="29"/>
      <c r="O33" s="29"/>
      <c r="P33" s="29"/>
      <c r="Q33" s="29"/>
      <c r="R33" s="29"/>
      <c r="S33" s="21"/>
      <c r="T33" s="21"/>
      <c r="U33" s="21"/>
    </row>
    <row r="34" spans="1:24" x14ac:dyDescent="0.25">
      <c r="B34" s="21"/>
      <c r="C34" s="21"/>
      <c r="D34" s="21"/>
      <c r="E34" s="21"/>
      <c r="F34" s="21"/>
      <c r="G34" s="3"/>
      <c r="H34" s="8"/>
      <c r="I34" s="21"/>
      <c r="J34" s="21"/>
      <c r="K34" s="21"/>
      <c r="L34" s="3"/>
      <c r="M34" s="120"/>
      <c r="N34" s="3"/>
      <c r="O34" s="3"/>
      <c r="P34" s="102"/>
      <c r="Q34" s="3"/>
      <c r="R34" s="3"/>
      <c r="S34" s="21"/>
      <c r="T34" s="21"/>
      <c r="U34" s="21"/>
    </row>
    <row r="35" spans="1:24" x14ac:dyDescent="0.25">
      <c r="A35" s="6" t="s">
        <v>9</v>
      </c>
      <c r="B35" s="80">
        <f t="shared" ref="B35:U35" si="7">AVERAGE(B8:B32)</f>
        <v>305185.71283199993</v>
      </c>
      <c r="C35" s="80">
        <f t="shared" si="7"/>
        <v>186102.65228547092</v>
      </c>
      <c r="D35" s="80">
        <f t="shared" si="7"/>
        <v>45543.873830890858</v>
      </c>
      <c r="E35" s="80">
        <f t="shared" si="7"/>
        <v>187526.72604800161</v>
      </c>
      <c r="F35" s="80"/>
      <c r="G35" s="80">
        <f t="shared" si="7"/>
        <v>724358.9649963635</v>
      </c>
      <c r="H35" s="80"/>
      <c r="I35" s="80">
        <f t="shared" si="7"/>
        <v>343759.9919716079</v>
      </c>
      <c r="J35" s="80">
        <f t="shared" si="7"/>
        <v>11080.322399999997</v>
      </c>
      <c r="K35" s="80">
        <f t="shared" si="7"/>
        <v>349680.6088507183</v>
      </c>
      <c r="L35" s="80">
        <f t="shared" si="7"/>
        <v>375816.58919732698</v>
      </c>
      <c r="M35" s="80">
        <f t="shared" si="7"/>
        <v>45543.873830890858</v>
      </c>
      <c r="N35" s="80">
        <f t="shared" si="7"/>
        <v>61631.406062010064</v>
      </c>
      <c r="O35" s="80">
        <f t="shared" si="7"/>
        <v>264887.1745381183</v>
      </c>
      <c r="P35" s="80">
        <f t="shared" si="7"/>
        <v>62906.088255922448</v>
      </c>
      <c r="Q35" s="80">
        <f t="shared" si="7"/>
        <v>88948</v>
      </c>
      <c r="R35" s="80">
        <f>AVERAGE(R8:R32)</f>
        <v>264887.1745381183</v>
      </c>
      <c r="S35" s="80"/>
      <c r="T35" s="80">
        <f t="shared" si="7"/>
        <v>1139666.6779859455</v>
      </c>
      <c r="U35" s="80">
        <f t="shared" si="7"/>
        <v>1301820.5607886619</v>
      </c>
      <c r="V35" s="18"/>
      <c r="W35" s="18">
        <f>AVERAGE(W8:W32)</f>
        <v>-415307.71298958221</v>
      </c>
      <c r="X35" s="18">
        <f>AVERAGE(X8:X32)</f>
        <v>-577461.59579229879</v>
      </c>
    </row>
    <row r="36" spans="1:24" x14ac:dyDescent="0.25">
      <c r="E36" s="52"/>
      <c r="I36" s="116"/>
      <c r="J36" s="116"/>
      <c r="K36" s="116"/>
      <c r="L36" s="28"/>
      <c r="M36" s="28"/>
      <c r="N36" s="28"/>
      <c r="O36" s="28"/>
      <c r="Q36" s="28"/>
    </row>
    <row r="37" spans="1:24" x14ac:dyDescent="0.25">
      <c r="E37" s="52"/>
      <c r="I37" s="123"/>
      <c r="J37" s="123"/>
      <c r="K37" s="123"/>
    </row>
    <row r="38" spans="1:24" x14ac:dyDescent="0.25">
      <c r="A38" s="6" t="s">
        <v>10</v>
      </c>
      <c r="D38" s="6" t="s">
        <v>6</v>
      </c>
      <c r="G38" s="6" t="s">
        <v>7</v>
      </c>
      <c r="H38" s="56"/>
      <c r="J38" s="16" t="s">
        <v>135</v>
      </c>
      <c r="K38" s="161" t="s">
        <v>136</v>
      </c>
    </row>
    <row r="39" spans="1:24" x14ac:dyDescent="0.25">
      <c r="A39" s="71" t="s">
        <v>41</v>
      </c>
      <c r="B39" s="72">
        <f>B35</f>
        <v>305185.71283199993</v>
      </c>
      <c r="D39" s="71" t="s">
        <v>11</v>
      </c>
      <c r="E39" s="72">
        <f>E35</f>
        <v>187526.72604800161</v>
      </c>
      <c r="G39" s="71" t="s">
        <v>12</v>
      </c>
      <c r="H39" s="72">
        <f>K35</f>
        <v>349680.6088507183</v>
      </c>
      <c r="J39" s="161" t="s">
        <v>137</v>
      </c>
      <c r="K39" s="161" t="s">
        <v>138</v>
      </c>
    </row>
    <row r="40" spans="1:24" x14ac:dyDescent="0.25">
      <c r="A40" s="71" t="s">
        <v>11</v>
      </c>
      <c r="B40" s="72">
        <f>E35</f>
        <v>187526.72604800161</v>
      </c>
      <c r="D40" s="71" t="s">
        <v>13</v>
      </c>
      <c r="E40" s="72">
        <f>I35</f>
        <v>343759.9919716079</v>
      </c>
      <c r="G40" s="71" t="s">
        <v>13</v>
      </c>
      <c r="H40" s="72">
        <f>E40</f>
        <v>343759.9919716079</v>
      </c>
      <c r="J40" s="161" t="s">
        <v>139</v>
      </c>
      <c r="K40" s="161" t="s">
        <v>140</v>
      </c>
    </row>
    <row r="41" spans="1:24" x14ac:dyDescent="0.25">
      <c r="A41" s="71" t="s">
        <v>3</v>
      </c>
      <c r="B41" s="72">
        <f>C35</f>
        <v>186102.65228547092</v>
      </c>
      <c r="D41" s="71" t="s">
        <v>5</v>
      </c>
      <c r="E41" s="72">
        <f>L35</f>
        <v>375816.58919732698</v>
      </c>
      <c r="G41" s="71" t="s">
        <v>5</v>
      </c>
      <c r="H41" s="72">
        <f t="shared" ref="H41" si="8">E41</f>
        <v>375816.58919732698</v>
      </c>
      <c r="J41" s="161" t="s">
        <v>141</v>
      </c>
      <c r="K41" s="161" t="s">
        <v>142</v>
      </c>
    </row>
    <row r="42" spans="1:24" x14ac:dyDescent="0.25">
      <c r="A42" s="71" t="s">
        <v>20</v>
      </c>
      <c r="B42" s="72">
        <f>D35</f>
        <v>45543.873830890858</v>
      </c>
      <c r="D42" s="71" t="s">
        <v>95</v>
      </c>
      <c r="E42" s="72">
        <f>J35</f>
        <v>11080.322399999997</v>
      </c>
      <c r="G42" s="71" t="s">
        <v>95</v>
      </c>
      <c r="H42" s="74">
        <f>E42</f>
        <v>11080.322399999997</v>
      </c>
      <c r="J42" s="161" t="s">
        <v>143</v>
      </c>
      <c r="K42" s="161" t="s">
        <v>144</v>
      </c>
    </row>
    <row r="43" spans="1:24" x14ac:dyDescent="0.25">
      <c r="A43" s="71" t="s">
        <v>22</v>
      </c>
      <c r="B43" s="72">
        <f>SUM(B39:B42)</f>
        <v>724358.96499636339</v>
      </c>
      <c r="D43" s="71" t="s">
        <v>20</v>
      </c>
      <c r="E43" s="72">
        <f>M35</f>
        <v>45543.873830890858</v>
      </c>
      <c r="G43" s="71" t="s">
        <v>20</v>
      </c>
      <c r="H43" s="74">
        <f>E43</f>
        <v>45543.873830890858</v>
      </c>
      <c r="J43" s="161" t="s">
        <v>5</v>
      </c>
      <c r="K43" s="161" t="s">
        <v>145</v>
      </c>
    </row>
    <row r="44" spans="1:24" x14ac:dyDescent="0.25">
      <c r="D44" s="71" t="s">
        <v>18</v>
      </c>
      <c r="E44" s="72">
        <f>R35</f>
        <v>264887.1745381183</v>
      </c>
      <c r="G44" s="71" t="s">
        <v>18</v>
      </c>
      <c r="H44" s="72">
        <f>E44</f>
        <v>264887.1745381183</v>
      </c>
      <c r="J44" s="5" t="s">
        <v>146</v>
      </c>
      <c r="K44" s="161" t="s">
        <v>147</v>
      </c>
    </row>
    <row r="45" spans="1:24" x14ac:dyDescent="0.25">
      <c r="D45" s="71" t="s">
        <v>86</v>
      </c>
      <c r="E45" s="72">
        <f>-MIN(Q35,I35+L35)</f>
        <v>-88948</v>
      </c>
      <c r="G45" s="71" t="s">
        <v>86</v>
      </c>
      <c r="H45" s="72">
        <f>E45</f>
        <v>-88948</v>
      </c>
      <c r="J45" s="5" t="s">
        <v>148</v>
      </c>
      <c r="K45" s="161" t="s">
        <v>149</v>
      </c>
    </row>
    <row r="46" spans="1:24" x14ac:dyDescent="0.25">
      <c r="D46" s="71" t="s">
        <v>22</v>
      </c>
      <c r="E46" s="72">
        <f>SUM(E39:E45)</f>
        <v>1139666.6779859457</v>
      </c>
      <c r="G46" s="71" t="s">
        <v>22</v>
      </c>
      <c r="H46" s="72">
        <f>SUM(H39:H45)</f>
        <v>1301820.5607886622</v>
      </c>
      <c r="J46" s="5" t="s">
        <v>150</v>
      </c>
      <c r="K46" s="161" t="s">
        <v>151</v>
      </c>
    </row>
    <row r="47" spans="1:24" x14ac:dyDescent="0.25">
      <c r="D47" s="71" t="s">
        <v>42</v>
      </c>
      <c r="E47" s="72">
        <f>B43-E46</f>
        <v>-415307.71298958233</v>
      </c>
      <c r="G47" s="71" t="s">
        <v>42</v>
      </c>
      <c r="H47" s="72">
        <f>B43-H46</f>
        <v>-577461.59579229879</v>
      </c>
      <c r="J47" s="125" t="s">
        <v>152</v>
      </c>
      <c r="K47" s="125" t="s">
        <v>153</v>
      </c>
    </row>
    <row r="48" spans="1:24" x14ac:dyDescent="0.25">
      <c r="E48" s="52"/>
      <c r="J48" s="125" t="s">
        <v>154</v>
      </c>
      <c r="K48" s="125" t="s">
        <v>155</v>
      </c>
    </row>
    <row r="49" spans="5:5" x14ac:dyDescent="0.25">
      <c r="E49" s="52"/>
    </row>
    <row r="50" spans="5:5" x14ac:dyDescent="0.25">
      <c r="E50" s="52"/>
    </row>
    <row r="51" spans="5:5" x14ac:dyDescent="0.25">
      <c r="E51" s="52"/>
    </row>
    <row r="52" spans="5:5" x14ac:dyDescent="0.25">
      <c r="E52" s="52"/>
    </row>
    <row r="53" spans="5:5" x14ac:dyDescent="0.25">
      <c r="E53" s="52"/>
    </row>
    <row r="54" spans="5:5" x14ac:dyDescent="0.25">
      <c r="E54" s="52"/>
    </row>
    <row r="55" spans="5:5" x14ac:dyDescent="0.25">
      <c r="E55" s="52"/>
    </row>
    <row r="56" spans="5:5" x14ac:dyDescent="0.25">
      <c r="E56" s="52"/>
    </row>
    <row r="57" spans="5:5" x14ac:dyDescent="0.25">
      <c r="E57" s="52"/>
    </row>
    <row r="58" spans="5:5" x14ac:dyDescent="0.25">
      <c r="E58" s="52"/>
    </row>
    <row r="59" spans="5:5" x14ac:dyDescent="0.25">
      <c r="E59" s="52"/>
    </row>
    <row r="60" spans="5:5" x14ac:dyDescent="0.25">
      <c r="E60" s="52"/>
    </row>
    <row r="61" spans="5:5" x14ac:dyDescent="0.25">
      <c r="E61" s="52"/>
    </row>
    <row r="62" spans="5:5" x14ac:dyDescent="0.25">
      <c r="E62" s="52"/>
    </row>
    <row r="63" spans="5:5" x14ac:dyDescent="0.25">
      <c r="E63" s="52"/>
    </row>
  </sheetData>
  <mergeCells count="1">
    <mergeCell ref="A6:A7"/>
  </mergeCells>
  <printOptions gridLines="1"/>
  <pageMargins left="0.7" right="0.7" top="0.75" bottom="0.75" header="0.3" footer="0.3"/>
  <pageSetup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/>
    <pageSetUpPr fitToPage="1"/>
  </sheetPr>
  <dimension ref="A1:T63"/>
  <sheetViews>
    <sheetView showGridLines="0" zoomScale="85" zoomScaleNormal="85" workbookViewId="0"/>
  </sheetViews>
  <sheetFormatPr defaultColWidth="9.140625" defaultRowHeight="15" x14ac:dyDescent="0.25"/>
  <cols>
    <col min="1" max="1" width="14" style="6" customWidth="1"/>
    <col min="2" max="2" width="18" style="6" customWidth="1"/>
    <col min="3" max="3" width="14.42578125" style="6" bestFit="1" customWidth="1"/>
    <col min="4" max="4" width="9.5703125" style="6" bestFit="1" customWidth="1"/>
    <col min="5" max="5" width="19.28515625" style="6" bestFit="1" customWidth="1"/>
    <col min="6" max="6" width="9.140625" style="6" customWidth="1"/>
    <col min="7" max="7" width="21.42578125" customWidth="1"/>
    <col min="8" max="8" width="12.42578125" style="1" customWidth="1"/>
    <col min="9" max="9" width="18.140625" style="6" customWidth="1"/>
    <col min="10" max="10" width="15" style="6" bestFit="1" customWidth="1"/>
    <col min="11" max="12" width="21" style="6" bestFit="1" customWidth="1"/>
    <col min="13" max="13" width="11.85546875" bestFit="1" customWidth="1"/>
    <col min="14" max="14" width="9.140625" style="6"/>
    <col min="15" max="16" width="26.140625" style="6" customWidth="1"/>
    <col min="17" max="17" width="8.28515625" style="6" bestFit="1" customWidth="1"/>
    <col min="18" max="18" width="28.28515625" style="6" bestFit="1" customWidth="1"/>
    <col min="19" max="19" width="28" style="6" customWidth="1"/>
    <col min="20" max="16384" width="9.140625" style="6"/>
  </cols>
  <sheetData>
    <row r="1" spans="1:19" x14ac:dyDescent="0.25">
      <c r="A1" s="6" t="s">
        <v>108</v>
      </c>
      <c r="B1" s="162">
        <v>43262</v>
      </c>
      <c r="G1" s="161"/>
      <c r="H1" s="127"/>
      <c r="M1" s="161"/>
    </row>
    <row r="2" spans="1:19" x14ac:dyDescent="0.25">
      <c r="A2" s="6" t="s">
        <v>109</v>
      </c>
      <c r="B2" s="6" t="s">
        <v>110</v>
      </c>
      <c r="G2" s="161"/>
      <c r="H2" s="127"/>
      <c r="M2" s="161"/>
    </row>
    <row r="3" spans="1:19" x14ac:dyDescent="0.25">
      <c r="A3" s="6" t="s">
        <v>21</v>
      </c>
      <c r="G3" s="20"/>
      <c r="H3" s="20"/>
      <c r="I3" s="30"/>
      <c r="J3" s="30"/>
      <c r="K3" s="30"/>
      <c r="L3" s="30"/>
    </row>
    <row r="4" spans="1:19" x14ac:dyDescent="0.25">
      <c r="A4" s="6" t="s">
        <v>15</v>
      </c>
      <c r="G4" s="21"/>
      <c r="H4" s="22"/>
      <c r="I4" s="22"/>
      <c r="J4" s="22"/>
      <c r="K4" s="22"/>
      <c r="L4" s="22"/>
    </row>
    <row r="5" spans="1:19" s="10" customFormat="1" ht="30" customHeight="1" x14ac:dyDescent="0.25">
      <c r="C5" s="13"/>
      <c r="D5" s="13"/>
      <c r="E5" s="13"/>
      <c r="F5" s="20"/>
      <c r="G5" s="131"/>
      <c r="H5" s="1"/>
      <c r="J5" s="139"/>
      <c r="K5" s="139"/>
      <c r="L5" s="139"/>
      <c r="M5" s="139"/>
      <c r="N5" s="138"/>
      <c r="O5" s="21"/>
      <c r="P5" s="21"/>
    </row>
    <row r="6" spans="1:19" s="10" customFormat="1" ht="30" x14ac:dyDescent="0.25">
      <c r="A6" s="185" t="s">
        <v>1</v>
      </c>
      <c r="B6" s="163" t="s">
        <v>111</v>
      </c>
      <c r="C6" s="164" t="s">
        <v>3</v>
      </c>
      <c r="D6" s="164" t="s">
        <v>20</v>
      </c>
      <c r="E6" s="164" t="s">
        <v>11</v>
      </c>
      <c r="F6" s="130"/>
      <c r="G6" s="163" t="s">
        <v>56</v>
      </c>
      <c r="H6" s="1"/>
      <c r="I6" s="166" t="s">
        <v>112</v>
      </c>
      <c r="J6" s="166" t="s">
        <v>90</v>
      </c>
      <c r="K6" s="166" t="s">
        <v>83</v>
      </c>
      <c r="L6" s="166" t="s">
        <v>20</v>
      </c>
      <c r="M6" s="166" t="s">
        <v>5</v>
      </c>
      <c r="N6" s="25"/>
      <c r="O6" s="166" t="s">
        <v>104</v>
      </c>
      <c r="P6" s="168" t="s">
        <v>105</v>
      </c>
      <c r="Q6" s="130"/>
      <c r="R6" s="166" t="s">
        <v>106</v>
      </c>
      <c r="S6" s="166" t="s">
        <v>107</v>
      </c>
    </row>
    <row r="7" spans="1:19" s="10" customForma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65"/>
      <c r="G7" s="164" t="s">
        <v>8</v>
      </c>
      <c r="H7" s="1"/>
      <c r="I7" s="164" t="s">
        <v>8</v>
      </c>
      <c r="J7" s="164" t="s">
        <v>8</v>
      </c>
      <c r="K7" s="164" t="s">
        <v>8</v>
      </c>
      <c r="L7" s="164" t="s">
        <v>8</v>
      </c>
      <c r="M7" s="164" t="s">
        <v>8</v>
      </c>
      <c r="N7" s="3"/>
      <c r="O7" s="164" t="s">
        <v>8</v>
      </c>
      <c r="P7" s="169" t="s">
        <v>8</v>
      </c>
      <c r="Q7" s="130"/>
      <c r="R7" s="164" t="s">
        <v>8</v>
      </c>
      <c r="S7" s="164" t="s">
        <v>8</v>
      </c>
    </row>
    <row r="8" spans="1:19" x14ac:dyDescent="0.25">
      <c r="A8" s="38">
        <v>1988</v>
      </c>
      <c r="B8" s="146">
        <f>'[1]Capped Flow'!N7</f>
        <v>133046.10000000003</v>
      </c>
      <c r="C8" s="43">
        <f>[2]SWCU!I10</f>
        <v>115363.9</v>
      </c>
      <c r="D8" s="43">
        <f>'[2]Reservoir Evap'!I11</f>
        <v>3992</v>
      </c>
      <c r="E8" s="43">
        <f>'[2]GW Depletions'!Q15</f>
        <v>30339.130269017445</v>
      </c>
      <c r="F8" s="116"/>
      <c r="G8" s="148">
        <f t="shared" ref="G8:G32" si="0">SUM(B8:E8)</f>
        <v>282741.13026901748</v>
      </c>
      <c r="H8" s="17"/>
      <c r="I8" s="146">
        <f>[2]SWDemand!O14</f>
        <v>222090.84016854735</v>
      </c>
      <c r="J8" s="43">
        <f>MAX([2]GWCU!B12*0.3,E8)</f>
        <v>30339.130269017445</v>
      </c>
      <c r="K8" s="43">
        <f>IF('[3]DS Demand'!M7&gt;0, '[3]DS Demand'!M7,0)</f>
        <v>618297.95550249401</v>
      </c>
      <c r="L8" s="146">
        <f t="shared" ref="L8:L32" si="1">D8</f>
        <v>3992</v>
      </c>
      <c r="M8" s="62">
        <f>'[2]Net SW Loss'!K13</f>
        <v>161393.39999999997</v>
      </c>
      <c r="N8" s="82"/>
      <c r="O8" s="62">
        <f t="shared" ref="O8:O32" si="2">E8+I8+K8+L8+M8</f>
        <v>1036113.3259400588</v>
      </c>
      <c r="P8" s="167">
        <f t="shared" ref="P8:P32" si="3">I8+J8+K8+L8+M8</f>
        <v>1036113.3259400588</v>
      </c>
      <c r="Q8" s="85"/>
      <c r="R8" s="150">
        <f t="shared" ref="R8:R32" si="4">$G8-O8</f>
        <v>-753372.19567104126</v>
      </c>
      <c r="S8" s="150">
        <f t="shared" ref="S8:S32" si="5">$G8-P8</f>
        <v>-753372.19567104126</v>
      </c>
    </row>
    <row r="9" spans="1:19" x14ac:dyDescent="0.25">
      <c r="A9" s="38">
        <v>1989</v>
      </c>
      <c r="B9" s="146">
        <f>'[1]Capped Flow'!N8</f>
        <v>57075.48</v>
      </c>
      <c r="C9" s="43">
        <f>[2]SWCU!I11</f>
        <v>116668.7</v>
      </c>
      <c r="D9" s="43">
        <f>'[2]Reservoir Evap'!I12</f>
        <v>3661.9</v>
      </c>
      <c r="E9" s="43">
        <f>'[2]GW Depletions'!Q16</f>
        <v>37161.343011425619</v>
      </c>
      <c r="F9" s="116"/>
      <c r="G9" s="148">
        <f t="shared" si="0"/>
        <v>214567.42301142559</v>
      </c>
      <c r="H9" s="17"/>
      <c r="I9" s="146">
        <f>[2]SWDemand!O15</f>
        <v>288011.97830764117</v>
      </c>
      <c r="J9" s="43">
        <f>MAX([2]GWCU!B13*0.3,E9)</f>
        <v>37161.343011425619</v>
      </c>
      <c r="K9" s="43">
        <f>IF('[3]DS Demand'!M8&gt;0, '[3]DS Demand'!M8,0)</f>
        <v>658575.3700985387</v>
      </c>
      <c r="L9" s="146">
        <f t="shared" si="1"/>
        <v>3661.9</v>
      </c>
      <c r="M9" s="62">
        <f>'[2]Net SW Loss'!K14</f>
        <v>150683.20000000001</v>
      </c>
      <c r="N9" s="82"/>
      <c r="O9" s="62">
        <f t="shared" si="2"/>
        <v>1138093.7914176055</v>
      </c>
      <c r="P9" s="167">
        <f t="shared" si="3"/>
        <v>1138093.7914176055</v>
      </c>
      <c r="Q9" s="85"/>
      <c r="R9" s="150">
        <f t="shared" si="4"/>
        <v>-923526.36840617983</v>
      </c>
      <c r="S9" s="150">
        <f t="shared" si="5"/>
        <v>-923526.36840617983</v>
      </c>
    </row>
    <row r="10" spans="1:19" x14ac:dyDescent="0.25">
      <c r="A10" s="38">
        <v>1990</v>
      </c>
      <c r="B10" s="146">
        <f>'[1]Capped Flow'!N9</f>
        <v>78164.460000000021</v>
      </c>
      <c r="C10" s="43">
        <f>[2]SWCU!I12</f>
        <v>90426.7</v>
      </c>
      <c r="D10" s="43">
        <f>'[2]Reservoir Evap'!I13</f>
        <v>3237.1000000000004</v>
      </c>
      <c r="E10" s="43">
        <f>'[2]GW Depletions'!Q17</f>
        <v>34517.021859825523</v>
      </c>
      <c r="F10" s="116"/>
      <c r="G10" s="148">
        <f t="shared" si="0"/>
        <v>206345.28185982557</v>
      </c>
      <c r="H10" s="17"/>
      <c r="I10" s="146">
        <f>[2]SWDemand!O16</f>
        <v>182451.6226974396</v>
      </c>
      <c r="J10" s="43">
        <f>MAX([2]GWCU!B14*0.3,E10)</f>
        <v>34517.021859825523</v>
      </c>
      <c r="K10" s="43">
        <f>IF('[3]DS Demand'!M9&gt;0, '[3]DS Demand'!M9,0)</f>
        <v>680225.03871610097</v>
      </c>
      <c r="L10" s="146">
        <f t="shared" si="1"/>
        <v>3237.1000000000004</v>
      </c>
      <c r="M10" s="62">
        <f>'[2]Net SW Loss'!K15</f>
        <v>126408.19999999998</v>
      </c>
      <c r="N10" s="82"/>
      <c r="O10" s="62">
        <f t="shared" si="2"/>
        <v>1026838.983273366</v>
      </c>
      <c r="P10" s="167">
        <f t="shared" si="3"/>
        <v>1026838.983273366</v>
      </c>
      <c r="Q10" s="85"/>
      <c r="R10" s="150">
        <f t="shared" si="4"/>
        <v>-820493.7014135404</v>
      </c>
      <c r="S10" s="150">
        <f t="shared" si="5"/>
        <v>-820493.7014135404</v>
      </c>
    </row>
    <row r="11" spans="1:19" x14ac:dyDescent="0.25">
      <c r="A11" s="38">
        <v>1991</v>
      </c>
      <c r="B11" s="146">
        <f>'[1]Capped Flow'!N10</f>
        <v>161554.13999999993</v>
      </c>
      <c r="C11" s="43">
        <f>[2]SWCU!I13</f>
        <v>96905.099999999991</v>
      </c>
      <c r="D11" s="43">
        <f>'[2]Reservoir Evap'!I14</f>
        <v>3780.8</v>
      </c>
      <c r="E11" s="43">
        <f>'[2]GW Depletions'!Q18</f>
        <v>36187.108464807156</v>
      </c>
      <c r="F11" s="116"/>
      <c r="G11" s="148">
        <f t="shared" si="0"/>
        <v>298427.14846480708</v>
      </c>
      <c r="H11" s="17"/>
      <c r="I11" s="146">
        <f>[2]SWDemand!O17</f>
        <v>215218.20731622542</v>
      </c>
      <c r="J11" s="43">
        <f>MAX([2]GWCU!B15*0.3,E11)</f>
        <v>36187.108464807156</v>
      </c>
      <c r="K11" s="43">
        <f>IF('[3]DS Demand'!M10&gt;0, '[3]DS Demand'!M10,0)</f>
        <v>688241.89897224156</v>
      </c>
      <c r="L11" s="146">
        <f t="shared" si="1"/>
        <v>3780.8</v>
      </c>
      <c r="M11" s="62">
        <f>'[2]Net SW Loss'!K16</f>
        <v>132468.40000000002</v>
      </c>
      <c r="N11" s="82"/>
      <c r="O11" s="62">
        <f t="shared" si="2"/>
        <v>1075896.4147532741</v>
      </c>
      <c r="P11" s="167">
        <f t="shared" si="3"/>
        <v>1075896.4147532741</v>
      </c>
      <c r="Q11" s="85"/>
      <c r="R11" s="150">
        <f t="shared" si="4"/>
        <v>-777469.26628846698</v>
      </c>
      <c r="S11" s="150">
        <f t="shared" si="5"/>
        <v>-777469.26628846698</v>
      </c>
    </row>
    <row r="12" spans="1:19" x14ac:dyDescent="0.25">
      <c r="A12" s="38">
        <v>1992</v>
      </c>
      <c r="B12" s="146">
        <f>'[1]Capped Flow'!N11</f>
        <v>109490.03999999996</v>
      </c>
      <c r="C12" s="43">
        <f>[2]SWCU!I14</f>
        <v>80395.8</v>
      </c>
      <c r="D12" s="43">
        <f>'[2]Reservoir Evap'!I15</f>
        <v>3318.7999999999997</v>
      </c>
      <c r="E12" s="43">
        <f>'[2]GW Depletions'!Q19</f>
        <v>33609.607055096421</v>
      </c>
      <c r="F12" s="116"/>
      <c r="G12" s="148">
        <f t="shared" si="0"/>
        <v>226814.24705509638</v>
      </c>
      <c r="H12" s="17"/>
      <c r="I12" s="146">
        <f>[2]SWDemand!O18</f>
        <v>148754.41464993506</v>
      </c>
      <c r="J12" s="43">
        <f>MAX([2]GWCU!B16*0.3,E12)</f>
        <v>33609.607055096421</v>
      </c>
      <c r="K12" s="43">
        <f>IF('[3]DS Demand'!M11&gt;0, '[3]DS Demand'!M11,0)</f>
        <v>363989.77957041503</v>
      </c>
      <c r="L12" s="146">
        <f t="shared" si="1"/>
        <v>3318.7999999999997</v>
      </c>
      <c r="M12" s="62">
        <f>'[2]Net SW Loss'!K17</f>
        <v>117625.5</v>
      </c>
      <c r="N12" s="82"/>
      <c r="O12" s="62">
        <f t="shared" si="2"/>
        <v>667298.10127544659</v>
      </c>
      <c r="P12" s="167">
        <f t="shared" si="3"/>
        <v>667298.10127544659</v>
      </c>
      <c r="Q12" s="85"/>
      <c r="R12" s="150">
        <f t="shared" si="4"/>
        <v>-440483.85422035021</v>
      </c>
      <c r="S12" s="150">
        <f t="shared" si="5"/>
        <v>-440483.85422035021</v>
      </c>
    </row>
    <row r="13" spans="1:19" x14ac:dyDescent="0.25">
      <c r="A13" s="38">
        <v>1993</v>
      </c>
      <c r="B13" s="146">
        <f>'[1]Capped Flow'!N12</f>
        <v>175948.74000000005</v>
      </c>
      <c r="C13" s="43">
        <f>[2]SWCU!I15</f>
        <v>73443.600000000006</v>
      </c>
      <c r="D13" s="43">
        <f>'[2]Reservoir Evap'!I16</f>
        <v>3899.8999999999996</v>
      </c>
      <c r="E13" s="43">
        <f>'[2]GW Depletions'!Q20</f>
        <v>32036.361253168048</v>
      </c>
      <c r="F13" s="116"/>
      <c r="G13" s="148">
        <f t="shared" si="0"/>
        <v>285328.60125316808</v>
      </c>
      <c r="H13" s="17"/>
      <c r="I13" s="146">
        <f>[2]SWDemand!O19</f>
        <v>114662.93204626582</v>
      </c>
      <c r="J13" s="43">
        <f>MAX([2]GWCU!B17*0.3,E13)</f>
        <v>32036.361253168048</v>
      </c>
      <c r="K13" s="43">
        <f>IF('[3]DS Demand'!M12&gt;0, '[3]DS Demand'!M12,0)</f>
        <v>171404.3834654644</v>
      </c>
      <c r="L13" s="146">
        <f t="shared" si="1"/>
        <v>3899.8999999999996</v>
      </c>
      <c r="M13" s="62">
        <f>'[2]Net SW Loss'!K18</f>
        <v>135608.09999999998</v>
      </c>
      <c r="N13" s="82"/>
      <c r="O13" s="62">
        <f t="shared" si="2"/>
        <v>457611.67676489823</v>
      </c>
      <c r="P13" s="167">
        <f t="shared" si="3"/>
        <v>457611.67676489823</v>
      </c>
      <c r="Q13" s="85"/>
      <c r="R13" s="150">
        <f t="shared" si="4"/>
        <v>-172283.07551173016</v>
      </c>
      <c r="S13" s="150">
        <f t="shared" si="5"/>
        <v>-172283.07551173016</v>
      </c>
    </row>
    <row r="14" spans="1:19" x14ac:dyDescent="0.25">
      <c r="A14" s="38">
        <v>1994</v>
      </c>
      <c r="B14" s="146">
        <f>'[1]Capped Flow'!N13</f>
        <v>142645.14000000004</v>
      </c>
      <c r="C14" s="43">
        <f>[2]SWCU!I16</f>
        <v>113720.19999999998</v>
      </c>
      <c r="D14" s="43">
        <f>'[2]Reservoir Evap'!I17</f>
        <v>3722.7000000000003</v>
      </c>
      <c r="E14" s="43">
        <f>'[2]GW Depletions'!Q21</f>
        <v>35644.317619651061</v>
      </c>
      <c r="F14" s="116"/>
      <c r="G14" s="148">
        <f t="shared" si="0"/>
        <v>295732.35761965113</v>
      </c>
      <c r="H14" s="17"/>
      <c r="I14" s="146">
        <f>[2]SWDemand!O20</f>
        <v>206058.3139624802</v>
      </c>
      <c r="J14" s="43">
        <f>MAX([2]GWCU!B18*0.3,E14)</f>
        <v>35644.317619651061</v>
      </c>
      <c r="K14" s="43">
        <f>IF('[3]DS Demand'!M13&gt;0, '[3]DS Demand'!M13,0)</f>
        <v>637936.82951232686</v>
      </c>
      <c r="L14" s="146">
        <f t="shared" si="1"/>
        <v>3722.7000000000003</v>
      </c>
      <c r="M14" s="62">
        <f>'[2]Net SW Loss'!K19</f>
        <v>156175.6</v>
      </c>
      <c r="N14" s="82"/>
      <c r="O14" s="62">
        <f t="shared" si="2"/>
        <v>1039537.7610944581</v>
      </c>
      <c r="P14" s="167">
        <f t="shared" si="3"/>
        <v>1039537.7610944581</v>
      </c>
      <c r="Q14" s="85"/>
      <c r="R14" s="150">
        <f t="shared" si="4"/>
        <v>-743805.40347480692</v>
      </c>
      <c r="S14" s="150">
        <f t="shared" si="5"/>
        <v>-743805.40347480692</v>
      </c>
    </row>
    <row r="15" spans="1:19" x14ac:dyDescent="0.25">
      <c r="A15" s="38">
        <v>1995</v>
      </c>
      <c r="B15" s="146">
        <f>'[1]Capped Flow'!N14</f>
        <v>442254.77999999991</v>
      </c>
      <c r="C15" s="43">
        <f>[2]SWCU!I17</f>
        <v>91180.1</v>
      </c>
      <c r="D15" s="43">
        <f>'[2]Reservoir Evap'!I18</f>
        <v>3969.6</v>
      </c>
      <c r="E15" s="43">
        <f>'[2]GW Depletions'!Q22</f>
        <v>30849.338495156109</v>
      </c>
      <c r="F15" s="116"/>
      <c r="G15" s="148">
        <f t="shared" si="0"/>
        <v>568253.81849515601</v>
      </c>
      <c r="H15" s="17"/>
      <c r="I15" s="146">
        <f>[2]SWDemand!O21</f>
        <v>188880.68638891811</v>
      </c>
      <c r="J15" s="43">
        <f>MAX([2]GWCU!B19*0.3,E15)</f>
        <v>30849.338495156109</v>
      </c>
      <c r="K15" s="43">
        <f>IF('[3]DS Demand'!M14&gt;0, '[3]DS Demand'!M14,0)</f>
        <v>423071.26695958711</v>
      </c>
      <c r="L15" s="146">
        <f t="shared" si="1"/>
        <v>3969.6</v>
      </c>
      <c r="M15" s="62">
        <f>'[2]Net SW Loss'!K20</f>
        <v>136672.5</v>
      </c>
      <c r="N15" s="82"/>
      <c r="O15" s="62">
        <f t="shared" si="2"/>
        <v>783443.39184366132</v>
      </c>
      <c r="P15" s="167">
        <f t="shared" si="3"/>
        <v>783443.39184366132</v>
      </c>
      <c r="Q15" s="85"/>
      <c r="R15" s="150">
        <f t="shared" si="4"/>
        <v>-215189.57334850531</v>
      </c>
      <c r="S15" s="150">
        <f t="shared" si="5"/>
        <v>-215189.57334850531</v>
      </c>
    </row>
    <row r="16" spans="1:19" x14ac:dyDescent="0.25">
      <c r="A16" s="38">
        <v>1996</v>
      </c>
      <c r="B16" s="146">
        <f>'[1]Capped Flow'!N15</f>
        <v>288695.87999999995</v>
      </c>
      <c r="C16" s="43">
        <f>[2]SWCU!I18</f>
        <v>106600.8</v>
      </c>
      <c r="D16" s="43">
        <f>'[2]Reservoir Evap'!I19</f>
        <v>3836.2</v>
      </c>
      <c r="E16" s="43">
        <f>'[2]GW Depletions'!Q23</f>
        <v>33925.572226154734</v>
      </c>
      <c r="F16" s="116"/>
      <c r="G16" s="148">
        <f t="shared" si="0"/>
        <v>433058.45222615468</v>
      </c>
      <c r="H16" s="17"/>
      <c r="I16" s="146">
        <f>[2]SWDemand!O22</f>
        <v>175094.58098599652</v>
      </c>
      <c r="J16" s="43">
        <f>MAX([2]GWCU!B20*0.3,E16)</f>
        <v>33925.572226154734</v>
      </c>
      <c r="K16" s="43">
        <f>IF('[3]DS Demand'!M15&gt;0, '[3]DS Demand'!M15,0)</f>
        <v>591650.68317223154</v>
      </c>
      <c r="L16" s="146">
        <f t="shared" si="1"/>
        <v>3836.2</v>
      </c>
      <c r="M16" s="62">
        <f>'[2]Net SW Loss'!K21</f>
        <v>156954.9</v>
      </c>
      <c r="N16" s="82"/>
      <c r="O16" s="62">
        <f t="shared" si="2"/>
        <v>961461.93638438277</v>
      </c>
      <c r="P16" s="167">
        <f t="shared" si="3"/>
        <v>961461.93638438277</v>
      </c>
      <c r="Q16" s="85"/>
      <c r="R16" s="150">
        <f t="shared" si="4"/>
        <v>-528403.48415822815</v>
      </c>
      <c r="S16" s="150">
        <f t="shared" si="5"/>
        <v>-528403.48415822815</v>
      </c>
    </row>
    <row r="17" spans="1:19" x14ac:dyDescent="0.25">
      <c r="A17" s="38">
        <v>1997</v>
      </c>
      <c r="B17" s="146">
        <f>'[1]Capped Flow'!N16</f>
        <v>538983.72</v>
      </c>
      <c r="C17" s="43">
        <f>[2]SWCU!I19</f>
        <v>87635.5</v>
      </c>
      <c r="D17" s="43">
        <f>'[2]Reservoir Evap'!I20</f>
        <v>4135.2999999999993</v>
      </c>
      <c r="E17" s="43">
        <f>'[2]GW Depletions'!Q24</f>
        <v>32335.936858260793</v>
      </c>
      <c r="F17" s="116"/>
      <c r="G17" s="148">
        <f t="shared" si="0"/>
        <v>663090.45685826079</v>
      </c>
      <c r="H17" s="17"/>
      <c r="I17" s="146">
        <f>[2]SWDemand!O23</f>
        <v>154082.52719249928</v>
      </c>
      <c r="J17" s="43">
        <f>MAX([2]GWCU!B21*0.3,E17)</f>
        <v>32335.936858260793</v>
      </c>
      <c r="K17" s="43">
        <f>IF('[3]DS Demand'!M16&gt;0, '[3]DS Demand'!M16,0)</f>
        <v>525328.35702184192</v>
      </c>
      <c r="L17" s="146">
        <f t="shared" si="1"/>
        <v>4135.2999999999993</v>
      </c>
      <c r="M17" s="62">
        <f>'[2]Net SW Loss'!K22</f>
        <v>133785</v>
      </c>
      <c r="N17" s="82"/>
      <c r="O17" s="62">
        <f t="shared" si="2"/>
        <v>849667.12107260199</v>
      </c>
      <c r="P17" s="167">
        <f t="shared" si="3"/>
        <v>849667.12107260199</v>
      </c>
      <c r="Q17" s="85"/>
      <c r="R17" s="150">
        <f t="shared" si="4"/>
        <v>-186576.6642143412</v>
      </c>
      <c r="S17" s="150">
        <f t="shared" si="5"/>
        <v>-186576.6642143412</v>
      </c>
    </row>
    <row r="18" spans="1:19" x14ac:dyDescent="0.25">
      <c r="A18" s="38">
        <v>1998</v>
      </c>
      <c r="B18" s="146">
        <f>'[1]Capped Flow'!N17</f>
        <v>177665.4</v>
      </c>
      <c r="C18" s="43">
        <f>[2]SWCU!I20</f>
        <v>97178.9</v>
      </c>
      <c r="D18" s="43">
        <f>'[2]Reservoir Evap'!I21</f>
        <v>3972.8</v>
      </c>
      <c r="E18" s="43">
        <f>'[2]GW Depletions'!Q25</f>
        <v>32917.99057961662</v>
      </c>
      <c r="F18" s="116"/>
      <c r="G18" s="148">
        <f t="shared" si="0"/>
        <v>311735.0905796166</v>
      </c>
      <c r="H18" s="17"/>
      <c r="I18" s="146">
        <f>[2]SWDemand!O24</f>
        <v>163149.05996548818</v>
      </c>
      <c r="J18" s="43">
        <f>MAX([2]GWCU!B22*0.3,E18)</f>
        <v>32917.99057961662</v>
      </c>
      <c r="K18" s="43">
        <f>IF('[3]DS Demand'!M17&gt;0, '[3]DS Demand'!M17,0)</f>
        <v>584562.74316464725</v>
      </c>
      <c r="L18" s="146">
        <f t="shared" si="1"/>
        <v>3972.8</v>
      </c>
      <c r="M18" s="62">
        <f>'[2]Net SW Loss'!K23</f>
        <v>141359.80000000002</v>
      </c>
      <c r="N18" s="82"/>
      <c r="O18" s="62">
        <f t="shared" si="2"/>
        <v>925962.39370975213</v>
      </c>
      <c r="P18" s="167">
        <f t="shared" si="3"/>
        <v>925962.39370975213</v>
      </c>
      <c r="Q18" s="85"/>
      <c r="R18" s="150">
        <f t="shared" si="4"/>
        <v>-614227.30313013552</v>
      </c>
      <c r="S18" s="150">
        <f t="shared" si="5"/>
        <v>-614227.30313013552</v>
      </c>
    </row>
    <row r="19" spans="1:19" x14ac:dyDescent="0.25">
      <c r="A19" s="38">
        <v>1999</v>
      </c>
      <c r="B19" s="146">
        <f>'[1]Capped Flow'!N18</f>
        <v>531576.5399999998</v>
      </c>
      <c r="C19" s="43">
        <f>[2]SWCU!I21</f>
        <v>95533.699999999983</v>
      </c>
      <c r="D19" s="43">
        <f>'[2]Reservoir Evap'!I22</f>
        <v>3933.4</v>
      </c>
      <c r="E19" s="43">
        <f>'[2]GW Depletions'!Q26</f>
        <v>32066.529123448123</v>
      </c>
      <c r="F19" s="116"/>
      <c r="G19" s="148">
        <f t="shared" si="0"/>
        <v>663110.16912344785</v>
      </c>
      <c r="H19" s="17"/>
      <c r="I19" s="146">
        <f>[2]SWDemand!O25</f>
        <v>154984.50637477654</v>
      </c>
      <c r="J19" s="43">
        <f>MAX([2]GWCU!B23*0.3,E19)</f>
        <v>32066.529123448123</v>
      </c>
      <c r="K19" s="43">
        <f>IF('[3]DS Demand'!M18&gt;0, '[3]DS Demand'!M18,0)</f>
        <v>446814.03120866226</v>
      </c>
      <c r="L19" s="146">
        <f t="shared" si="1"/>
        <v>3933.4</v>
      </c>
      <c r="M19" s="62">
        <f>'[2]Net SW Loss'!K24</f>
        <v>142394.29999999999</v>
      </c>
      <c r="N19" s="82"/>
      <c r="O19" s="62">
        <f t="shared" si="2"/>
        <v>780192.76670688693</v>
      </c>
      <c r="P19" s="167">
        <f t="shared" si="3"/>
        <v>780192.76670688693</v>
      </c>
      <c r="Q19" s="85"/>
      <c r="R19" s="150">
        <f t="shared" si="4"/>
        <v>-117082.59758343908</v>
      </c>
      <c r="S19" s="150">
        <f t="shared" si="5"/>
        <v>-117082.59758343908</v>
      </c>
    </row>
    <row r="20" spans="1:19" x14ac:dyDescent="0.25">
      <c r="A20" s="38">
        <v>2000</v>
      </c>
      <c r="B20" s="146">
        <f>'[1]Capped Flow'!N19</f>
        <v>123037.20000000003</v>
      </c>
      <c r="C20" s="43">
        <f>[2]SWCU!I22</f>
        <v>124640.9</v>
      </c>
      <c r="D20" s="43">
        <f>'[2]Reservoir Evap'!I23</f>
        <v>3626.5</v>
      </c>
      <c r="E20" s="43">
        <f>'[2]GW Depletions'!Q27</f>
        <v>38733.650435101008</v>
      </c>
      <c r="F20" s="116"/>
      <c r="G20" s="148">
        <f t="shared" si="0"/>
        <v>290038.25043510104</v>
      </c>
      <c r="H20" s="17"/>
      <c r="I20" s="146">
        <f>[2]SWDemand!O26</f>
        <v>249725.7951090665</v>
      </c>
      <c r="J20" s="43">
        <f>MAX([2]GWCU!B24*0.3,E20)</f>
        <v>38733.650435101008</v>
      </c>
      <c r="K20" s="43">
        <f>IF('[3]DS Demand'!M19&gt;0, '[3]DS Demand'!M19,0)</f>
        <v>756084.56439630431</v>
      </c>
      <c r="L20" s="146">
        <f t="shared" si="1"/>
        <v>3626.5</v>
      </c>
      <c r="M20" s="62">
        <f>'[2]Net SW Loss'!K25</f>
        <v>165338.9</v>
      </c>
      <c r="N20" s="82"/>
      <c r="O20" s="62">
        <f t="shared" si="2"/>
        <v>1213509.4099404719</v>
      </c>
      <c r="P20" s="167">
        <f t="shared" si="3"/>
        <v>1213509.4099404719</v>
      </c>
      <c r="Q20" s="85"/>
      <c r="R20" s="150">
        <f t="shared" si="4"/>
        <v>-923471.15950537077</v>
      </c>
      <c r="S20" s="150">
        <f t="shared" si="5"/>
        <v>-923471.15950537077</v>
      </c>
    </row>
    <row r="21" spans="1:19" x14ac:dyDescent="0.25">
      <c r="A21" s="38">
        <v>2001</v>
      </c>
      <c r="B21" s="146">
        <f>'[1]Capped Flow'!N20</f>
        <v>164334.06</v>
      </c>
      <c r="C21" s="43">
        <f>[2]SWCU!I23</f>
        <v>106377.90000000001</v>
      </c>
      <c r="D21" s="43">
        <f>'[2]Reservoir Evap'!I24</f>
        <v>3918.7</v>
      </c>
      <c r="E21" s="43">
        <f>'[2]GW Depletions'!Q28</f>
        <v>37849.159535192841</v>
      </c>
      <c r="F21" s="116"/>
      <c r="G21" s="148">
        <f t="shared" si="0"/>
        <v>312479.81953519286</v>
      </c>
      <c r="H21" s="17"/>
      <c r="I21" s="146">
        <f>[2]SWDemand!O27</f>
        <v>198318.41475733931</v>
      </c>
      <c r="J21" s="43">
        <f>MAX([2]GWCU!B25*0.3,E21)</f>
        <v>37849.159535192841</v>
      </c>
      <c r="K21" s="43">
        <f>IF('[3]DS Demand'!M20&gt;0, '[3]DS Demand'!M20,0)</f>
        <v>672693.93027168221</v>
      </c>
      <c r="L21" s="146">
        <f t="shared" si="1"/>
        <v>3918.7</v>
      </c>
      <c r="M21" s="62">
        <f>'[2]Net SW Loss'!K26</f>
        <v>156198.1</v>
      </c>
      <c r="N21" s="82"/>
      <c r="O21" s="62">
        <f t="shared" si="2"/>
        <v>1068978.3045642143</v>
      </c>
      <c r="P21" s="167">
        <f t="shared" si="3"/>
        <v>1068978.3045642143</v>
      </c>
      <c r="Q21" s="85"/>
      <c r="R21" s="150">
        <f t="shared" si="4"/>
        <v>-756498.48502902151</v>
      </c>
      <c r="S21" s="150">
        <f t="shared" si="5"/>
        <v>-756498.48502902151</v>
      </c>
    </row>
    <row r="22" spans="1:19" x14ac:dyDescent="0.25">
      <c r="A22" s="38">
        <v>2002</v>
      </c>
      <c r="B22" s="146">
        <f>'[1]Capped Flow'!N21</f>
        <v>28199.159999999996</v>
      </c>
      <c r="C22" s="43">
        <f>[2]SWCU!I24</f>
        <v>98835.3</v>
      </c>
      <c r="D22" s="43">
        <f>'[2]Reservoir Evap'!I25</f>
        <v>2982.3</v>
      </c>
      <c r="E22" s="43">
        <f>'[2]GW Depletions'!Q29</f>
        <v>52100.589757047746</v>
      </c>
      <c r="F22" s="116"/>
      <c r="G22" s="148">
        <f t="shared" si="0"/>
        <v>182117.34975704775</v>
      </c>
      <c r="H22" s="17"/>
      <c r="I22" s="146">
        <f>[2]SWDemand!O28</f>
        <v>248232.39601593127</v>
      </c>
      <c r="J22" s="43">
        <f>MAX([2]GWCU!B26*0.3,E22)</f>
        <v>52100.589757047746</v>
      </c>
      <c r="K22" s="43">
        <f>IF('[3]DS Demand'!M21&gt;0, '[3]DS Demand'!M21,0)</f>
        <v>855840.05873865844</v>
      </c>
      <c r="L22" s="146">
        <f t="shared" si="1"/>
        <v>2982.3</v>
      </c>
      <c r="M22" s="62">
        <f>'[2]Net SW Loss'!K27</f>
        <v>126392.10000000003</v>
      </c>
      <c r="N22" s="82"/>
      <c r="O22" s="62">
        <f t="shared" si="2"/>
        <v>1285547.4445116376</v>
      </c>
      <c r="P22" s="167">
        <f t="shared" si="3"/>
        <v>1285547.4445116376</v>
      </c>
      <c r="Q22" s="85"/>
      <c r="R22" s="150">
        <f t="shared" si="4"/>
        <v>-1103430.0947545897</v>
      </c>
      <c r="S22" s="150">
        <f t="shared" si="5"/>
        <v>-1103430.0947545897</v>
      </c>
    </row>
    <row r="23" spans="1:19" x14ac:dyDescent="0.25">
      <c r="A23" s="38">
        <v>2003</v>
      </c>
      <c r="B23" s="146">
        <f>'[1]Capped Flow'!N22</f>
        <v>34842.05999999999</v>
      </c>
      <c r="C23" s="43">
        <f>[2]SWCU!I25</f>
        <v>90507</v>
      </c>
      <c r="D23" s="43">
        <f>'[2]Reservoir Evap'!I26</f>
        <v>2689.2</v>
      </c>
      <c r="E23" s="43">
        <f>'[2]GW Depletions'!Q30</f>
        <v>51484.05084708448</v>
      </c>
      <c r="F23" s="116"/>
      <c r="G23" s="148">
        <f t="shared" si="0"/>
        <v>179522.31084708447</v>
      </c>
      <c r="H23" s="17"/>
      <c r="I23" s="146">
        <f>[2]SWDemand!O29</f>
        <v>202727.86863251394</v>
      </c>
      <c r="J23" s="43">
        <f>MAX([2]GWCU!B27*0.3,E23)</f>
        <v>51484.05084708448</v>
      </c>
      <c r="K23" s="43">
        <f>IF('[3]DS Demand'!M22&gt;0, '[3]DS Demand'!M22,0)</f>
        <v>631764.77892412758</v>
      </c>
      <c r="L23" s="146">
        <f t="shared" si="1"/>
        <v>2689.2</v>
      </c>
      <c r="M23" s="62">
        <f>'[2]Net SW Loss'!K28</f>
        <v>120268.20000000001</v>
      </c>
      <c r="N23" s="82"/>
      <c r="O23" s="62">
        <f t="shared" si="2"/>
        <v>1008934.098403726</v>
      </c>
      <c r="P23" s="167">
        <f t="shared" si="3"/>
        <v>1008934.098403726</v>
      </c>
      <c r="Q23" s="85"/>
      <c r="R23" s="150">
        <f t="shared" si="4"/>
        <v>-829411.7875566415</v>
      </c>
      <c r="S23" s="150">
        <f t="shared" si="5"/>
        <v>-829411.7875566415</v>
      </c>
    </row>
    <row r="24" spans="1:19" x14ac:dyDescent="0.25">
      <c r="A24" s="38">
        <v>2004</v>
      </c>
      <c r="B24" s="146">
        <f>'[1]Capped Flow'!N23</f>
        <v>44161.92000000002</v>
      </c>
      <c r="C24" s="43">
        <f>[2]SWCU!I26</f>
        <v>83514.600000000006</v>
      </c>
      <c r="D24" s="43">
        <f>'[2]Reservoir Evap'!I27</f>
        <v>2513.3000000000002</v>
      </c>
      <c r="E24" s="43">
        <f>'[2]GW Depletions'!Q31</f>
        <v>53985.469343365483</v>
      </c>
      <c r="F24" s="116"/>
      <c r="G24" s="148">
        <f t="shared" si="0"/>
        <v>184175.2893433655</v>
      </c>
      <c r="H24" s="17"/>
      <c r="I24" s="146">
        <f>[2]SWDemand!O30</f>
        <v>170291.88600823923</v>
      </c>
      <c r="J24" s="43">
        <f>MAX([2]GWCU!B28*0.3,E24)</f>
        <v>53985.469343365483</v>
      </c>
      <c r="K24" s="43">
        <f>IF('[3]DS Demand'!M23&gt;0, '[3]DS Demand'!M23,0)</f>
        <v>562779.46064205491</v>
      </c>
      <c r="L24" s="146">
        <f t="shared" si="1"/>
        <v>2513.3000000000002</v>
      </c>
      <c r="M24" s="62">
        <f>'[2]Net SW Loss'!K29</f>
        <v>111785.40000000002</v>
      </c>
      <c r="N24" s="82"/>
      <c r="O24" s="62">
        <f t="shared" si="2"/>
        <v>901355.51599365973</v>
      </c>
      <c r="P24" s="167">
        <f t="shared" si="3"/>
        <v>901355.51599365973</v>
      </c>
      <c r="Q24" s="85"/>
      <c r="R24" s="150">
        <f t="shared" si="4"/>
        <v>-717180.22665029427</v>
      </c>
      <c r="S24" s="150">
        <f t="shared" si="5"/>
        <v>-717180.22665029427</v>
      </c>
    </row>
    <row r="25" spans="1:19" x14ac:dyDescent="0.25">
      <c r="A25" s="38">
        <v>2005</v>
      </c>
      <c r="B25" s="146">
        <f>'[1]Capped Flow'!N24</f>
        <v>105834.95999999998</v>
      </c>
      <c r="C25" s="43">
        <f>[2]SWCU!I27</f>
        <v>76872.900000000009</v>
      </c>
      <c r="D25" s="43">
        <f>'[2]Reservoir Evap'!I28</f>
        <v>3244.5</v>
      </c>
      <c r="E25" s="43">
        <f>'[2]GW Depletions'!Q32</f>
        <v>46722.184787327817</v>
      </c>
      <c r="F25" s="116"/>
      <c r="G25" s="148">
        <f t="shared" si="0"/>
        <v>232674.54478732782</v>
      </c>
      <c r="H25" s="17"/>
      <c r="I25" s="146">
        <f>[2]SWDemand!O31</f>
        <v>134275.20282695978</v>
      </c>
      <c r="J25" s="43">
        <f>MAX([2]GWCU!B29*0.3,E25)</f>
        <v>46722.184787327817</v>
      </c>
      <c r="K25" s="43">
        <f>IF('[3]DS Demand'!M24&gt;0, '[3]DS Demand'!M24,0)</f>
        <v>413976.91353800136</v>
      </c>
      <c r="L25" s="146">
        <f t="shared" si="1"/>
        <v>3244.5</v>
      </c>
      <c r="M25" s="62">
        <f>'[2]Net SW Loss'!K30</f>
        <v>126676.59999999999</v>
      </c>
      <c r="N25" s="82"/>
      <c r="O25" s="62">
        <f t="shared" si="2"/>
        <v>724895.40115228889</v>
      </c>
      <c r="P25" s="167">
        <f t="shared" si="3"/>
        <v>724895.40115228889</v>
      </c>
      <c r="Q25" s="85"/>
      <c r="R25" s="150">
        <f t="shared" si="4"/>
        <v>-492220.85636496107</v>
      </c>
      <c r="S25" s="150">
        <f t="shared" si="5"/>
        <v>-492220.85636496107</v>
      </c>
    </row>
    <row r="26" spans="1:19" x14ac:dyDescent="0.25">
      <c r="A26" s="38">
        <v>2006</v>
      </c>
      <c r="B26" s="146">
        <f>'[1]Capped Flow'!N25</f>
        <v>44585.64</v>
      </c>
      <c r="C26" s="43">
        <f>[2]SWCU!I28</f>
        <v>96997.3</v>
      </c>
      <c r="D26" s="43">
        <f>'[2]Reservoir Evap'!I29</f>
        <v>3561.1000000000004</v>
      </c>
      <c r="E26" s="43">
        <f>'[2]GW Depletions'!Q33</f>
        <v>54933.531080027555</v>
      </c>
      <c r="F26" s="116"/>
      <c r="G26" s="148">
        <f t="shared" si="0"/>
        <v>200077.57108002756</v>
      </c>
      <c r="H26" s="17"/>
      <c r="I26" s="146">
        <f>[2]SWDemand!O32</f>
        <v>194565.47675332555</v>
      </c>
      <c r="J26" s="43">
        <f>MAX([2]GWCU!B30*0.3,E26)</f>
        <v>54933.531080027555</v>
      </c>
      <c r="K26" s="43">
        <f>IF('[3]DS Demand'!M25&gt;0, '[3]DS Demand'!M25,0)</f>
        <v>530670.83806278475</v>
      </c>
      <c r="L26" s="146">
        <f t="shared" si="1"/>
        <v>3561.1000000000004</v>
      </c>
      <c r="M26" s="62">
        <f>'[2]Net SW Loss'!K31</f>
        <v>136404.79999999999</v>
      </c>
      <c r="N26" s="82"/>
      <c r="O26" s="62">
        <f t="shared" si="2"/>
        <v>920135.74589613779</v>
      </c>
      <c r="P26" s="167">
        <f t="shared" si="3"/>
        <v>920135.74589613779</v>
      </c>
      <c r="Q26" s="85"/>
      <c r="R26" s="150">
        <f t="shared" si="4"/>
        <v>-720058.17481611017</v>
      </c>
      <c r="S26" s="150">
        <f t="shared" si="5"/>
        <v>-720058.17481611017</v>
      </c>
    </row>
    <row r="27" spans="1:19" x14ac:dyDescent="0.25">
      <c r="A27" s="38">
        <v>2007</v>
      </c>
      <c r="B27" s="146">
        <f>'[1]Capped Flow'!N26</f>
        <v>46981.439999999988</v>
      </c>
      <c r="C27" s="43">
        <f>[2]SWCU!I29</f>
        <v>102871.5</v>
      </c>
      <c r="D27" s="43">
        <f>'[2]Reservoir Evap'!I30</f>
        <v>3433.3</v>
      </c>
      <c r="E27" s="43">
        <f>'[2]GW Depletions'!Q34</f>
        <v>55711.477907093664</v>
      </c>
      <c r="F27" s="116"/>
      <c r="G27" s="148">
        <f t="shared" si="0"/>
        <v>208997.71790709364</v>
      </c>
      <c r="H27" s="17"/>
      <c r="I27" s="146">
        <f>[2]SWDemand!O33</f>
        <v>210287.54772668463</v>
      </c>
      <c r="J27" s="43">
        <f>MAX([2]GWCU!B31*0.3,E27)</f>
        <v>55711.477907093664</v>
      </c>
      <c r="K27" s="43">
        <f>IF('[3]DS Demand'!M26&gt;0, '[3]DS Demand'!M26,0)</f>
        <v>225079.6707982411</v>
      </c>
      <c r="L27" s="146">
        <f t="shared" si="1"/>
        <v>3433.3</v>
      </c>
      <c r="M27" s="62">
        <f>'[2]Net SW Loss'!K32</f>
        <v>138982.5</v>
      </c>
      <c r="N27" s="82"/>
      <c r="O27" s="62">
        <f t="shared" si="2"/>
        <v>633494.4964320194</v>
      </c>
      <c r="P27" s="167">
        <f t="shared" si="3"/>
        <v>633494.4964320194</v>
      </c>
      <c r="Q27" s="85"/>
      <c r="R27" s="150">
        <f t="shared" si="4"/>
        <v>-424496.77852492576</v>
      </c>
      <c r="S27" s="150">
        <f t="shared" si="5"/>
        <v>-424496.77852492576</v>
      </c>
    </row>
    <row r="28" spans="1:19" x14ac:dyDescent="0.25">
      <c r="A28" s="38">
        <v>2008</v>
      </c>
      <c r="B28" s="146">
        <f>'[1]Capped Flow'!N27</f>
        <v>109363.31999999999</v>
      </c>
      <c r="C28" s="43">
        <f>[2]SWCU!I30</f>
        <v>87937.9</v>
      </c>
      <c r="D28" s="43">
        <f>'[2]Reservoir Evap'!I31</f>
        <v>4184.3999999999996</v>
      </c>
      <c r="E28" s="43">
        <f>'[2]GW Depletions'!Q35</f>
        <v>50997.240929269974</v>
      </c>
      <c r="F28" s="116"/>
      <c r="G28" s="148">
        <f t="shared" si="0"/>
        <v>252482.86092926993</v>
      </c>
      <c r="H28" s="17"/>
      <c r="I28" s="146">
        <f>[2]SWDemand!O34</f>
        <v>162312.52899553682</v>
      </c>
      <c r="J28" s="43">
        <f>MAX([2]GWCU!B32*0.3,E28)</f>
        <v>50997.240929269974</v>
      </c>
      <c r="K28" s="43">
        <f>IF('[3]DS Demand'!M27&gt;0, '[3]DS Demand'!M27,0)</f>
        <v>266951.60958510439</v>
      </c>
      <c r="L28" s="146">
        <f t="shared" si="1"/>
        <v>4184.3999999999996</v>
      </c>
      <c r="M28" s="62">
        <f>'[2]Net SW Loss'!K33</f>
        <v>142202</v>
      </c>
      <c r="N28" s="82"/>
      <c r="O28" s="62">
        <f t="shared" si="2"/>
        <v>626647.7795099112</v>
      </c>
      <c r="P28" s="167">
        <f t="shared" si="3"/>
        <v>626647.7795099112</v>
      </c>
      <c r="Q28" s="85"/>
      <c r="R28" s="150">
        <f t="shared" si="4"/>
        <v>-374164.91858064127</v>
      </c>
      <c r="S28" s="150">
        <f t="shared" si="5"/>
        <v>-374164.91858064127</v>
      </c>
    </row>
    <row r="29" spans="1:19" x14ac:dyDescent="0.25">
      <c r="A29" s="38">
        <v>2009</v>
      </c>
      <c r="B29" s="146">
        <f>'[1]Capped Flow'!N28</f>
        <v>177164.46000000005</v>
      </c>
      <c r="C29" s="43">
        <f>[2]SWCU!I31</f>
        <v>65447.1</v>
      </c>
      <c r="D29" s="43">
        <f>'[2]Reservoir Evap'!I32</f>
        <v>4317.6000000000004</v>
      </c>
      <c r="E29" s="43">
        <f>'[2]GW Depletions'!Q36</f>
        <v>37951.841197754824</v>
      </c>
      <c r="F29" s="116"/>
      <c r="G29" s="148">
        <f t="shared" si="0"/>
        <v>284881.00119775487</v>
      </c>
      <c r="H29" s="17"/>
      <c r="I29" s="146">
        <f>[2]SWDemand!O35</f>
        <v>116066.52066698798</v>
      </c>
      <c r="J29" s="43">
        <f>MAX([2]GWCU!B33*0.3,E29)</f>
        <v>37951.841197754824</v>
      </c>
      <c r="K29" s="43">
        <f>IF('[3]DS Demand'!M28&gt;0, '[3]DS Demand'!M28,0)</f>
        <v>188690.76786763888</v>
      </c>
      <c r="L29" s="146">
        <f t="shared" si="1"/>
        <v>4317.6000000000004</v>
      </c>
      <c r="M29" s="62">
        <f>'[2]Net SW Loss'!K34</f>
        <v>123295.49999999999</v>
      </c>
      <c r="N29" s="82"/>
      <c r="O29" s="62">
        <f t="shared" si="2"/>
        <v>470322.22973238165</v>
      </c>
      <c r="P29" s="167">
        <f t="shared" si="3"/>
        <v>470322.22973238165</v>
      </c>
      <c r="Q29" s="85"/>
      <c r="R29" s="150">
        <f t="shared" si="4"/>
        <v>-185441.22853462677</v>
      </c>
      <c r="S29" s="150">
        <f t="shared" si="5"/>
        <v>-185441.22853462677</v>
      </c>
    </row>
    <row r="30" spans="1:19" x14ac:dyDescent="0.25">
      <c r="A30" s="38">
        <v>2010</v>
      </c>
      <c r="B30" s="146">
        <f>'[1]Capped Flow'!N29</f>
        <v>685834.37999999977</v>
      </c>
      <c r="C30" s="43">
        <f>[2]SWCU!I32</f>
        <v>81733.100000000006</v>
      </c>
      <c r="D30" s="43">
        <f>'[2]Reservoir Evap'!I33</f>
        <v>4182.1000000000004</v>
      </c>
      <c r="E30" s="43">
        <f>'[2]GW Depletions'!Q37</f>
        <v>35471.17059621212</v>
      </c>
      <c r="F30" s="116"/>
      <c r="G30" s="148">
        <f t="shared" si="0"/>
        <v>807220.75059621187</v>
      </c>
      <c r="H30" s="17"/>
      <c r="I30" s="146">
        <f>[2]SWDemand!O36</f>
        <v>150910.29567723433</v>
      </c>
      <c r="J30" s="43">
        <f>MAX([2]GWCU!B34*0.3,E30)</f>
        <v>35471.17059621212</v>
      </c>
      <c r="K30" s="43">
        <f>IF('[3]DS Demand'!M29&gt;0, '[3]DS Demand'!M29,0)</f>
        <v>306378.744831477</v>
      </c>
      <c r="L30" s="146">
        <f t="shared" si="1"/>
        <v>4182.1000000000004</v>
      </c>
      <c r="M30" s="62">
        <f>'[2]Net SW Loss'!K35</f>
        <v>145205.4</v>
      </c>
      <c r="N30" s="82"/>
      <c r="O30" s="62">
        <f t="shared" si="2"/>
        <v>642147.71110492339</v>
      </c>
      <c r="P30" s="167">
        <f t="shared" si="3"/>
        <v>642147.71110492339</v>
      </c>
      <c r="Q30" s="85"/>
      <c r="R30" s="150">
        <f t="shared" si="4"/>
        <v>165073.03949128848</v>
      </c>
      <c r="S30" s="150">
        <f t="shared" si="5"/>
        <v>165073.03949128848</v>
      </c>
    </row>
    <row r="31" spans="1:19" x14ac:dyDescent="0.25">
      <c r="A31" s="38">
        <v>2011</v>
      </c>
      <c r="B31" s="146">
        <f>'[1]Capped Flow'!N30</f>
        <v>1009978.2000000001</v>
      </c>
      <c r="C31" s="43">
        <f>[2]SWCU!I33</f>
        <v>81723.099999999991</v>
      </c>
      <c r="D31" s="43">
        <f>'[2]Reservoir Evap'!I34</f>
        <v>3923.7</v>
      </c>
      <c r="E31" s="43">
        <f>'[2]GW Depletions'!Q38</f>
        <v>33799.393550865476</v>
      </c>
      <c r="F31" s="116"/>
      <c r="G31" s="148">
        <f t="shared" si="0"/>
        <v>1129424.3935508656</v>
      </c>
      <c r="H31" s="17"/>
      <c r="I31" s="146">
        <f>[2]SWDemand!O37</f>
        <v>165656.11969314548</v>
      </c>
      <c r="J31" s="43">
        <f>MAX([2]GWCU!B35*0.3,E31)</f>
        <v>33799.393550865476</v>
      </c>
      <c r="K31" s="43">
        <f>IF('[3]DS Demand'!M30&gt;0, '[3]DS Demand'!M30,0)</f>
        <v>574449.44765105285</v>
      </c>
      <c r="L31" s="146">
        <f t="shared" si="1"/>
        <v>3923.7</v>
      </c>
      <c r="M31" s="62">
        <f>'[2]Net SW Loss'!K36</f>
        <v>137727.9</v>
      </c>
      <c r="N31" s="82"/>
      <c r="O31" s="62">
        <f t="shared" si="2"/>
        <v>915556.5608950638</v>
      </c>
      <c r="P31" s="167">
        <f t="shared" si="3"/>
        <v>915556.5608950638</v>
      </c>
      <c r="Q31" s="85"/>
      <c r="R31" s="150">
        <f t="shared" si="4"/>
        <v>213867.83265580179</v>
      </c>
      <c r="S31" s="150">
        <f t="shared" si="5"/>
        <v>213867.83265580179</v>
      </c>
    </row>
    <row r="32" spans="1:19" x14ac:dyDescent="0.25">
      <c r="A32" s="38">
        <v>2012</v>
      </c>
      <c r="B32" s="146">
        <f>'[1]Capped Flow'!N31</f>
        <v>77170.499999999985</v>
      </c>
      <c r="C32" s="43">
        <f>[2]SWCU!I34</f>
        <v>128447.59999999999</v>
      </c>
      <c r="D32" s="43">
        <f>'[2]Reservoir Evap'!I35</f>
        <v>3886.1</v>
      </c>
      <c r="E32" s="43">
        <f>'[2]GW Depletions'!Q39</f>
        <v>43530.600319375575</v>
      </c>
      <c r="F32" s="116"/>
      <c r="G32" s="148">
        <f t="shared" si="0"/>
        <v>253034.80031937556</v>
      </c>
      <c r="H32" s="17"/>
      <c r="I32" s="146">
        <f>[2]SWDemand!O38</f>
        <v>272723.67352101736</v>
      </c>
      <c r="J32" s="43">
        <f>MAX([2]GWCU!B36*0.3,E32)</f>
        <v>43530.600319375575</v>
      </c>
      <c r="K32" s="43">
        <f>IF('[3]DS Demand'!M31&gt;0, '[3]DS Demand'!M31,0)</f>
        <v>183609.3841125961</v>
      </c>
      <c r="L32" s="146">
        <f t="shared" si="1"/>
        <v>3886.1</v>
      </c>
      <c r="M32" s="62">
        <f>'[2]Net SW Loss'!K37</f>
        <v>174343.1</v>
      </c>
      <c r="N32" s="82"/>
      <c r="O32" s="62">
        <f t="shared" si="2"/>
        <v>678092.85795298906</v>
      </c>
      <c r="P32" s="167">
        <f t="shared" si="3"/>
        <v>678092.85795298906</v>
      </c>
      <c r="Q32" s="85"/>
      <c r="R32" s="150">
        <f t="shared" si="4"/>
        <v>-425058.05763361347</v>
      </c>
      <c r="S32" s="150">
        <f t="shared" si="5"/>
        <v>-425058.05763361347</v>
      </c>
    </row>
    <row r="33" spans="1:20" x14ac:dyDescent="0.25">
      <c r="A33" s="14"/>
      <c r="B33" s="15"/>
      <c r="C33" s="18"/>
      <c r="D33" s="18"/>
      <c r="E33" s="18"/>
      <c r="G33" s="15"/>
      <c r="H33" s="34"/>
      <c r="I33" s="35"/>
      <c r="J33" s="80"/>
      <c r="K33" s="80"/>
      <c r="L33" s="80"/>
      <c r="M33" s="29"/>
      <c r="N33" s="21"/>
      <c r="O33" s="21"/>
      <c r="P33" s="21"/>
      <c r="Q33" s="21"/>
      <c r="R33" s="3"/>
      <c r="S33" s="3"/>
    </row>
    <row r="34" spans="1:20" x14ac:dyDescent="0.25">
      <c r="I34" s="21"/>
      <c r="J34" s="21"/>
      <c r="K34" s="21"/>
      <c r="L34" s="21"/>
      <c r="M34" s="3"/>
      <c r="N34" s="21"/>
      <c r="O34" s="21"/>
      <c r="P34" s="21"/>
      <c r="Q34" s="21"/>
      <c r="R34" s="3"/>
      <c r="S34" s="3"/>
    </row>
    <row r="35" spans="1:20" x14ac:dyDescent="0.25">
      <c r="A35" s="6" t="s">
        <v>9</v>
      </c>
      <c r="B35" s="18">
        <f t="shared" ref="B35:S35" si="6">AVERAGE(B8:B32)</f>
        <v>219543.50879999995</v>
      </c>
      <c r="C35" s="18">
        <f t="shared" si="6"/>
        <v>95638.367999999988</v>
      </c>
      <c r="D35" s="18">
        <f t="shared" si="6"/>
        <v>3676.9320000000007</v>
      </c>
      <c r="E35" s="18">
        <f t="shared" si="6"/>
        <v>39794.424684053847</v>
      </c>
      <c r="F35" s="116"/>
      <c r="G35" s="18">
        <f t="shared" si="6"/>
        <v>358653.23348405375</v>
      </c>
      <c r="H35" s="18"/>
      <c r="I35" s="80">
        <f t="shared" si="6"/>
        <v>187581.33585760783</v>
      </c>
      <c r="J35" s="80">
        <f t="shared" si="6"/>
        <v>39794.424684053847</v>
      </c>
      <c r="K35" s="80">
        <f t="shared" si="6"/>
        <v>502362.74027137109</v>
      </c>
      <c r="L35" s="80">
        <f t="shared" si="6"/>
        <v>3676.9320000000007</v>
      </c>
      <c r="M35" s="80">
        <f t="shared" si="6"/>
        <v>139853.976</v>
      </c>
      <c r="N35" s="80"/>
      <c r="O35" s="80">
        <f t="shared" si="6"/>
        <v>873269.40881303267</v>
      </c>
      <c r="P35" s="80">
        <f t="shared" si="6"/>
        <v>873269.40881303267</v>
      </c>
      <c r="Q35" s="80"/>
      <c r="R35" s="80">
        <f t="shared" si="6"/>
        <v>-514616.17532897898</v>
      </c>
      <c r="S35" s="80">
        <f t="shared" si="6"/>
        <v>-514616.17532897898</v>
      </c>
      <c r="T35" s="80"/>
    </row>
    <row r="36" spans="1:20" x14ac:dyDescent="0.25">
      <c r="E36"/>
      <c r="K36" s="116"/>
      <c r="L36" s="116"/>
    </row>
    <row r="37" spans="1:20" x14ac:dyDescent="0.25">
      <c r="E37"/>
      <c r="K37" s="116"/>
      <c r="L37" s="116"/>
    </row>
    <row r="38" spans="1:20" x14ac:dyDescent="0.25">
      <c r="A38" s="6" t="s">
        <v>10</v>
      </c>
      <c r="D38" s="6" t="s">
        <v>6</v>
      </c>
      <c r="E38"/>
      <c r="G38" s="6" t="s">
        <v>7</v>
      </c>
      <c r="H38" s="58"/>
      <c r="J38" s="16" t="s">
        <v>135</v>
      </c>
      <c r="K38" s="161" t="s">
        <v>136</v>
      </c>
    </row>
    <row r="39" spans="1:20" x14ac:dyDescent="0.25">
      <c r="A39" s="71" t="s">
        <v>2</v>
      </c>
      <c r="B39" s="72">
        <f>B35</f>
        <v>219543.50879999995</v>
      </c>
      <c r="D39" s="71" t="s">
        <v>11</v>
      </c>
      <c r="E39" s="111">
        <f>E35</f>
        <v>39794.424684053847</v>
      </c>
      <c r="G39" s="71" t="s">
        <v>12</v>
      </c>
      <c r="H39" s="111">
        <f>J35</f>
        <v>39794.424684053847</v>
      </c>
      <c r="J39" s="161" t="s">
        <v>137</v>
      </c>
      <c r="K39" s="161" t="s">
        <v>138</v>
      </c>
    </row>
    <row r="40" spans="1:20" x14ac:dyDescent="0.25">
      <c r="A40" s="71" t="s">
        <v>11</v>
      </c>
      <c r="B40" s="72">
        <f>E35</f>
        <v>39794.424684053847</v>
      </c>
      <c r="D40" s="71" t="s">
        <v>13</v>
      </c>
      <c r="E40" s="111">
        <f>I35</f>
        <v>187581.33585760783</v>
      </c>
      <c r="G40" s="71" t="s">
        <v>13</v>
      </c>
      <c r="H40" s="111">
        <f>E40</f>
        <v>187581.33585760783</v>
      </c>
      <c r="J40" s="161" t="s">
        <v>139</v>
      </c>
      <c r="K40" s="161" t="s">
        <v>140</v>
      </c>
    </row>
    <row r="41" spans="1:20" x14ac:dyDescent="0.25">
      <c r="A41" s="71" t="s">
        <v>3</v>
      </c>
      <c r="B41" s="72">
        <f>C35</f>
        <v>95638.367999999988</v>
      </c>
      <c r="D41" s="71" t="s">
        <v>20</v>
      </c>
      <c r="E41" s="72">
        <f>L35</f>
        <v>3676.9320000000007</v>
      </c>
      <c r="G41" s="71" t="s">
        <v>20</v>
      </c>
      <c r="H41" s="74">
        <f>L35</f>
        <v>3676.9320000000007</v>
      </c>
      <c r="J41" s="161" t="s">
        <v>141</v>
      </c>
      <c r="K41" s="161" t="s">
        <v>142</v>
      </c>
    </row>
    <row r="42" spans="1:20" x14ac:dyDescent="0.25">
      <c r="A42" s="71" t="s">
        <v>20</v>
      </c>
      <c r="B42" s="72">
        <f>D35</f>
        <v>3676.9320000000007</v>
      </c>
      <c r="D42" s="71" t="s">
        <v>5</v>
      </c>
      <c r="E42" s="111">
        <f>M35</f>
        <v>139853.976</v>
      </c>
      <c r="G42" s="71" t="s">
        <v>5</v>
      </c>
      <c r="H42" s="111">
        <f>E42</f>
        <v>139853.976</v>
      </c>
      <c r="J42" s="161" t="s">
        <v>143</v>
      </c>
      <c r="K42" s="161" t="s">
        <v>144</v>
      </c>
    </row>
    <row r="43" spans="1:20" x14ac:dyDescent="0.25">
      <c r="A43" s="71" t="s">
        <v>22</v>
      </c>
      <c r="B43" s="72">
        <f>SUM(B39:B42)</f>
        <v>358653.23348405375</v>
      </c>
      <c r="D43" s="71" t="s">
        <v>18</v>
      </c>
      <c r="E43" s="111">
        <f>K35</f>
        <v>502362.74027137109</v>
      </c>
      <c r="G43" s="71" t="s">
        <v>18</v>
      </c>
      <c r="H43" s="111">
        <f>E43</f>
        <v>502362.74027137109</v>
      </c>
      <c r="J43" s="161" t="s">
        <v>5</v>
      </c>
      <c r="K43" s="161" t="s">
        <v>145</v>
      </c>
    </row>
    <row r="44" spans="1:20" x14ac:dyDescent="0.25">
      <c r="D44" s="71" t="s">
        <v>42</v>
      </c>
      <c r="E44" s="73">
        <f>B43-E45</f>
        <v>-514616.17532897904</v>
      </c>
      <c r="G44" s="71" t="s">
        <v>42</v>
      </c>
      <c r="H44" s="73">
        <f>B43-H45</f>
        <v>-514616.17532897904</v>
      </c>
      <c r="J44" s="5" t="s">
        <v>146</v>
      </c>
      <c r="K44" s="161" t="s">
        <v>147</v>
      </c>
    </row>
    <row r="45" spans="1:20" x14ac:dyDescent="0.25">
      <c r="C45" s="126"/>
      <c r="D45" s="71" t="s">
        <v>22</v>
      </c>
      <c r="E45" s="73">
        <f>SUM(E39:E43)</f>
        <v>873269.40881303279</v>
      </c>
      <c r="G45" s="71" t="s">
        <v>22</v>
      </c>
      <c r="H45" s="73">
        <f>SUM(H39:H43)</f>
        <v>873269.40881303279</v>
      </c>
      <c r="I45" s="126"/>
      <c r="J45" s="5" t="s">
        <v>148</v>
      </c>
      <c r="K45" s="161" t="s">
        <v>149</v>
      </c>
    </row>
    <row r="46" spans="1:20" x14ac:dyDescent="0.25">
      <c r="C46" s="126"/>
      <c r="D46" s="126"/>
      <c r="E46" s="126"/>
      <c r="F46" s="126"/>
      <c r="G46" s="126"/>
      <c r="H46" s="126"/>
      <c r="I46" s="126"/>
      <c r="J46" s="5" t="s">
        <v>150</v>
      </c>
      <c r="K46" s="161" t="s">
        <v>151</v>
      </c>
    </row>
    <row r="47" spans="1:20" x14ac:dyDescent="0.25">
      <c r="C47" s="126"/>
      <c r="D47" s="126"/>
      <c r="E47" s="126"/>
      <c r="F47" s="126"/>
      <c r="G47" s="126"/>
      <c r="H47" s="126"/>
      <c r="I47" s="126"/>
      <c r="J47" s="125" t="s">
        <v>152</v>
      </c>
      <c r="K47" s="125" t="s">
        <v>153</v>
      </c>
    </row>
    <row r="48" spans="1:20" x14ac:dyDescent="0.25">
      <c r="C48" s="126"/>
      <c r="D48" s="126"/>
      <c r="E48" s="126"/>
      <c r="F48" s="126"/>
      <c r="G48" s="126"/>
      <c r="H48" s="126"/>
      <c r="I48" s="126"/>
      <c r="J48" s="125" t="s">
        <v>154</v>
      </c>
      <c r="K48" s="125" t="s">
        <v>155</v>
      </c>
    </row>
    <row r="49" spans="3:9" x14ac:dyDescent="0.25">
      <c r="C49" s="126"/>
      <c r="D49" s="126"/>
      <c r="E49" s="126"/>
      <c r="F49" s="126"/>
      <c r="G49" s="126"/>
      <c r="H49" s="126"/>
      <c r="I49" s="126"/>
    </row>
    <row r="50" spans="3:9" x14ac:dyDescent="0.25">
      <c r="C50" s="126"/>
      <c r="D50" s="126"/>
      <c r="E50" s="126"/>
      <c r="F50" s="126"/>
      <c r="G50" s="126"/>
      <c r="H50" s="126"/>
      <c r="I50" s="126"/>
    </row>
    <row r="51" spans="3:9" x14ac:dyDescent="0.25">
      <c r="C51" s="126"/>
      <c r="D51" s="126"/>
      <c r="E51" s="126"/>
      <c r="F51" s="126"/>
      <c r="G51" s="126"/>
      <c r="H51" s="126"/>
      <c r="I51" s="126"/>
    </row>
    <row r="52" spans="3:9" x14ac:dyDescent="0.25">
      <c r="C52" s="126"/>
      <c r="D52" s="126"/>
      <c r="E52" s="126"/>
      <c r="F52" s="126"/>
      <c r="G52" s="126"/>
      <c r="H52" s="126"/>
      <c r="I52" s="126"/>
    </row>
    <row r="53" spans="3:9" x14ac:dyDescent="0.25">
      <c r="C53" s="126"/>
      <c r="D53" s="126"/>
      <c r="E53" s="126"/>
      <c r="F53" s="126"/>
      <c r="G53" s="126"/>
      <c r="H53" s="126"/>
      <c r="I53" s="126"/>
    </row>
    <row r="54" spans="3:9" x14ac:dyDescent="0.25">
      <c r="C54" s="126"/>
      <c r="D54" s="126"/>
      <c r="E54" s="126"/>
      <c r="F54" s="126"/>
      <c r="G54" s="126"/>
      <c r="H54" s="126"/>
      <c r="I54" s="126"/>
    </row>
    <row r="55" spans="3:9" x14ac:dyDescent="0.25">
      <c r="C55" s="126"/>
      <c r="D55" s="126"/>
      <c r="E55" s="126"/>
      <c r="F55" s="126"/>
      <c r="G55" s="126"/>
      <c r="H55" s="126"/>
      <c r="I55" s="126"/>
    </row>
    <row r="56" spans="3:9" x14ac:dyDescent="0.25">
      <c r="E56"/>
    </row>
    <row r="57" spans="3:9" x14ac:dyDescent="0.25">
      <c r="E57"/>
    </row>
    <row r="58" spans="3:9" x14ac:dyDescent="0.25">
      <c r="E58"/>
    </row>
    <row r="59" spans="3:9" x14ac:dyDescent="0.25">
      <c r="E59"/>
    </row>
    <row r="60" spans="3:9" x14ac:dyDescent="0.25">
      <c r="E60"/>
    </row>
    <row r="61" spans="3:9" x14ac:dyDescent="0.25">
      <c r="E61"/>
    </row>
    <row r="62" spans="3:9" x14ac:dyDescent="0.25">
      <c r="E62"/>
    </row>
    <row r="63" spans="3:9" x14ac:dyDescent="0.25">
      <c r="E63"/>
    </row>
  </sheetData>
  <mergeCells count="1">
    <mergeCell ref="A6:A7"/>
  </mergeCells>
  <printOptions gridLines="1"/>
  <pageMargins left="0.7" right="0.7" top="0.75" bottom="0.75" header="0.3" footer="0.3"/>
  <pageSetup scale="19" orientation="portrait" r:id="rId1"/>
  <ignoredErrors>
    <ignoredError sqref="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/>
    <pageSetUpPr fitToPage="1"/>
  </sheetPr>
  <dimension ref="A1:AJ56"/>
  <sheetViews>
    <sheetView showGridLines="0" topLeftCell="T1" zoomScale="70" zoomScaleNormal="70" workbookViewId="0">
      <selection activeCell="AC8" sqref="AC8"/>
    </sheetView>
  </sheetViews>
  <sheetFormatPr defaultRowHeight="15" x14ac:dyDescent="0.25"/>
  <cols>
    <col min="1" max="1" width="25" customWidth="1"/>
    <col min="2" max="2" width="19.42578125" customWidth="1"/>
    <col min="3" max="3" width="20.42578125" bestFit="1" customWidth="1"/>
    <col min="4" max="4" width="20.140625" customWidth="1"/>
    <col min="5" max="5" width="12.7109375" bestFit="1" customWidth="1"/>
    <col min="6" max="6" width="13.140625" style="91" bestFit="1" customWidth="1"/>
    <col min="7" max="7" width="18.5703125" style="49" bestFit="1" customWidth="1"/>
    <col min="8" max="8" width="20.5703125" style="118" bestFit="1" customWidth="1"/>
    <col min="9" max="9" width="20" style="1" bestFit="1" customWidth="1"/>
    <col min="10" max="10" width="17" style="1" customWidth="1"/>
    <col min="11" max="11" width="13.140625" style="1" customWidth="1"/>
    <col min="12" max="12" width="13.140625" style="108" customWidth="1"/>
    <col min="13" max="13" width="20.42578125" style="1" customWidth="1"/>
    <col min="14" max="14" width="20.42578125" style="108" customWidth="1"/>
    <col min="15" max="15" width="17" customWidth="1"/>
    <col min="16" max="16" width="17" style="51" customWidth="1"/>
    <col min="17" max="17" width="17" style="118" customWidth="1"/>
    <col min="18" max="18" width="17" style="126" customWidth="1"/>
    <col min="19" max="19" width="22.85546875" customWidth="1"/>
    <col min="20" max="20" width="21.42578125" bestFit="1" customWidth="1"/>
    <col min="21" max="22" width="22.7109375" style="91" customWidth="1"/>
    <col min="23" max="23" width="18.140625" customWidth="1"/>
    <col min="24" max="24" width="18.140625" style="126" customWidth="1"/>
    <col min="25" max="25" width="18.140625" style="52" customWidth="1"/>
    <col min="26" max="26" width="18.140625" style="107" customWidth="1"/>
    <col min="27" max="27" width="7.7109375" customWidth="1"/>
    <col min="28" max="28" width="15.42578125" customWidth="1"/>
    <col min="29" max="29" width="15.42578125" style="107" customWidth="1"/>
    <col min="30" max="30" width="15.42578125" customWidth="1"/>
    <col min="31" max="31" width="15.42578125" style="107" customWidth="1"/>
    <col min="33" max="33" width="19.140625" customWidth="1"/>
    <col min="34" max="34" width="19.140625" style="107" customWidth="1"/>
    <col min="35" max="35" width="19.140625" customWidth="1"/>
    <col min="36" max="36" width="19.140625" style="107" customWidth="1"/>
  </cols>
  <sheetData>
    <row r="1" spans="1:36" s="161" customFormat="1" x14ac:dyDescent="0.25">
      <c r="A1" s="171" t="s">
        <v>108</v>
      </c>
      <c r="B1" s="170">
        <v>43262</v>
      </c>
      <c r="C1" s="120"/>
      <c r="I1" s="127"/>
      <c r="J1" s="127"/>
      <c r="K1" s="127"/>
      <c r="L1" s="127"/>
      <c r="M1" s="127"/>
      <c r="N1" s="127"/>
    </row>
    <row r="2" spans="1:36" s="161" customFormat="1" x14ac:dyDescent="0.25">
      <c r="A2" s="171" t="s">
        <v>109</v>
      </c>
      <c r="B2" s="21" t="s">
        <v>110</v>
      </c>
      <c r="C2" s="120"/>
      <c r="I2" s="127"/>
      <c r="J2" s="127"/>
      <c r="K2" s="127"/>
      <c r="L2" s="127"/>
      <c r="M2" s="127"/>
      <c r="N2" s="127"/>
    </row>
    <row r="3" spans="1:36" x14ac:dyDescent="0.25">
      <c r="A3" s="172" t="s">
        <v>113</v>
      </c>
      <c r="B3" s="120"/>
      <c r="C3" s="120"/>
      <c r="M3"/>
      <c r="N3" s="109"/>
    </row>
    <row r="4" spans="1:36" x14ac:dyDescent="0.25">
      <c r="A4" s="172" t="s">
        <v>17</v>
      </c>
      <c r="B4" s="120"/>
      <c r="C4" s="120"/>
      <c r="M4"/>
      <c r="N4" s="109"/>
    </row>
    <row r="5" spans="1:36" ht="15" customHeight="1" x14ac:dyDescent="0.25">
      <c r="A5" s="11"/>
      <c r="B5" s="11"/>
      <c r="C5" s="11"/>
      <c r="D5" s="11"/>
      <c r="E5" s="11"/>
      <c r="F5" s="93"/>
      <c r="G5" s="32"/>
      <c r="H5" s="32"/>
      <c r="I5"/>
      <c r="J5" s="138"/>
      <c r="Q5" s="133"/>
      <c r="R5" s="135"/>
      <c r="S5" s="135"/>
      <c r="T5" s="135"/>
      <c r="U5" s="135"/>
      <c r="V5" s="135"/>
      <c r="W5" s="135"/>
      <c r="X5" s="135"/>
      <c r="Y5" s="135"/>
      <c r="Z5" s="135"/>
      <c r="AA5" s="10"/>
    </row>
    <row r="6" spans="1:36" s="12" customFormat="1" ht="60" x14ac:dyDescent="0.25">
      <c r="A6" s="185" t="s">
        <v>1</v>
      </c>
      <c r="B6" s="163" t="s">
        <v>114</v>
      </c>
      <c r="C6" s="163" t="s">
        <v>115</v>
      </c>
      <c r="D6" s="163" t="s">
        <v>98</v>
      </c>
      <c r="E6" s="163" t="s">
        <v>11</v>
      </c>
      <c r="F6" s="163" t="s">
        <v>20</v>
      </c>
      <c r="G6" s="163" t="s">
        <v>116</v>
      </c>
      <c r="H6" s="163" t="s">
        <v>117</v>
      </c>
      <c r="I6"/>
      <c r="J6" s="163" t="s">
        <v>118</v>
      </c>
      <c r="K6" s="163" t="s">
        <v>78</v>
      </c>
      <c r="L6" s="163" t="s">
        <v>79</v>
      </c>
      <c r="M6" s="163" t="s">
        <v>80</v>
      </c>
      <c r="N6" s="163" t="s">
        <v>81</v>
      </c>
      <c r="O6" s="3"/>
      <c r="P6" s="166" t="s">
        <v>119</v>
      </c>
      <c r="Q6" s="166" t="s">
        <v>120</v>
      </c>
      <c r="R6" s="166" t="s">
        <v>95</v>
      </c>
      <c r="S6" s="166" t="s">
        <v>12</v>
      </c>
      <c r="T6" s="166" t="s">
        <v>82</v>
      </c>
      <c r="U6" s="173" t="s">
        <v>51</v>
      </c>
      <c r="V6" s="173" t="s">
        <v>52</v>
      </c>
      <c r="W6" s="166" t="s">
        <v>5</v>
      </c>
      <c r="X6" s="166" t="s">
        <v>20</v>
      </c>
      <c r="Y6" s="166" t="s">
        <v>61</v>
      </c>
      <c r="Z6" s="166" t="s">
        <v>62</v>
      </c>
      <c r="AA6" s="131"/>
      <c r="AB6" s="166" t="s">
        <v>49</v>
      </c>
      <c r="AC6" s="166" t="s">
        <v>50</v>
      </c>
      <c r="AD6" s="166" t="s">
        <v>46</v>
      </c>
      <c r="AE6" s="166" t="s">
        <v>45</v>
      </c>
      <c r="AF6" s="130"/>
      <c r="AG6" s="166" t="s">
        <v>63</v>
      </c>
      <c r="AH6" s="166" t="s">
        <v>64</v>
      </c>
      <c r="AI6" s="166" t="s">
        <v>65</v>
      </c>
      <c r="AJ6" s="166" t="s">
        <v>66</v>
      </c>
    </row>
    <row r="7" spans="1:36" s="12" customForma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64" t="s">
        <v>8</v>
      </c>
      <c r="G7" s="164" t="s">
        <v>8</v>
      </c>
      <c r="H7" s="164" t="s">
        <v>8</v>
      </c>
      <c r="I7"/>
      <c r="J7" s="164" t="s">
        <v>8</v>
      </c>
      <c r="K7" s="164" t="s">
        <v>8</v>
      </c>
      <c r="L7" s="164" t="s">
        <v>8</v>
      </c>
      <c r="M7" s="164" t="s">
        <v>8</v>
      </c>
      <c r="N7" s="164" t="s">
        <v>8</v>
      </c>
      <c r="O7" s="3"/>
      <c r="P7" s="164" t="s">
        <v>8</v>
      </c>
      <c r="Q7" s="164" t="s">
        <v>8</v>
      </c>
      <c r="R7" s="166" t="s">
        <v>96</v>
      </c>
      <c r="S7" s="164" t="s">
        <v>8</v>
      </c>
      <c r="T7" s="164" t="s">
        <v>8</v>
      </c>
      <c r="U7" s="174" t="s">
        <v>8</v>
      </c>
      <c r="V7" s="174" t="s">
        <v>8</v>
      </c>
      <c r="W7" s="164" t="s">
        <v>8</v>
      </c>
      <c r="X7" s="164" t="s">
        <v>8</v>
      </c>
      <c r="Y7" s="164" t="s">
        <v>8</v>
      </c>
      <c r="Z7" s="164" t="s">
        <v>8</v>
      </c>
      <c r="AA7" s="131"/>
      <c r="AB7" s="164" t="s">
        <v>8</v>
      </c>
      <c r="AC7" s="164" t="s">
        <v>8</v>
      </c>
      <c r="AD7" s="164" t="s">
        <v>8</v>
      </c>
      <c r="AE7" s="164" t="s">
        <v>8</v>
      </c>
      <c r="AF7" s="130"/>
      <c r="AG7" s="164" t="s">
        <v>8</v>
      </c>
      <c r="AH7" s="164" t="s">
        <v>8</v>
      </c>
      <c r="AI7" s="164" t="s">
        <v>8</v>
      </c>
      <c r="AJ7" s="164" t="s">
        <v>8</v>
      </c>
    </row>
    <row r="8" spans="1:36" ht="15" customHeight="1" x14ac:dyDescent="0.25">
      <c r="A8" s="38">
        <v>1988</v>
      </c>
      <c r="B8" s="146">
        <f>'[1]Capped Flow'!C7</f>
        <v>19922.403600000001</v>
      </c>
      <c r="C8" s="146">
        <f>'[1]Capped Flow'!D7</f>
        <v>231533.27999999997</v>
      </c>
      <c r="D8" s="146">
        <f>C8-B8</f>
        <v>211610.87639999998</v>
      </c>
      <c r="E8" s="146">
        <f>'[2]GW Depletions'!D15+'[2]GW Depletions'!C15</f>
        <v>7809.0569197606528</v>
      </c>
      <c r="F8" s="146">
        <f>IF('[2]Reservoir Evap'!C11&gt;0, '[2]Reservoir Evap'!C11, 0)</f>
        <v>68053.967114384082</v>
      </c>
      <c r="G8" s="146">
        <f>[2]SWCU!C10</f>
        <v>1707.3315869866747</v>
      </c>
      <c r="H8" s="146">
        <f>[2]SWCU!D10</f>
        <v>227.39109900792587</v>
      </c>
      <c r="I8"/>
      <c r="J8" s="78">
        <f t="shared" ref="J8:J32" si="0">SUM(D8:H8)</f>
        <v>289408.62312013929</v>
      </c>
      <c r="K8" s="155">
        <f>'[3]Req Inflow'!B7</f>
        <v>609564.93442340614</v>
      </c>
      <c r="L8" s="155">
        <f>'[3]Req Inflow'!C7</f>
        <v>473796.65378202504</v>
      </c>
      <c r="M8" s="43">
        <f t="shared" ref="M8:M32" si="1">J8+K8</f>
        <v>898973.5575435455</v>
      </c>
      <c r="N8" s="43">
        <f t="shared" ref="N8:N32" si="2">J8+L8</f>
        <v>763205.27690216433</v>
      </c>
      <c r="O8" s="3"/>
      <c r="P8" s="61">
        <f>[2]SWDemand!C14</f>
        <v>2644.1382499999963</v>
      </c>
      <c r="Q8" s="61">
        <f>[2]SWDemand!F14</f>
        <v>349.99057999999968</v>
      </c>
      <c r="R8" s="156">
        <f>'[2]M&amp;I COHYST Summary'!C8</f>
        <v>2151.2400000000002</v>
      </c>
      <c r="S8" s="43">
        <f>MAX([2]GWCU!F12*0.7+[2]GWCU!G12*0.7,E8)</f>
        <v>29352.009889999961</v>
      </c>
      <c r="T8" s="43">
        <f>IF('[3]DS Demand'!D7&gt;0,'[3]DS Demand'!D7,0)</f>
        <v>185047.23584990305</v>
      </c>
      <c r="U8" s="43">
        <f>IF(273*3465&gt;('Lewellen_NonIrrigation Season'!C8+'Lewellen_NonIrrigation Season'!B8),('Lewellen_NonIrrigation Season'!C8+'Lewellen_NonIrrigation Season'!B8),273*3465)</f>
        <v>753988.53490905883</v>
      </c>
      <c r="V8" s="43">
        <f>MIN(273*3762-'SPlatte_NonIrrigation Season'!P8,U8)</f>
        <v>567567</v>
      </c>
      <c r="W8" s="62">
        <f>'[2]Net SW Loss'!C13+'[2]Net SW Loss'!D13</f>
        <v>12298.480000046007</v>
      </c>
      <c r="X8" s="61">
        <f t="shared" ref="X8:X32" si="3">F8</f>
        <v>68053.967114384082</v>
      </c>
      <c r="Y8" s="62">
        <f>MAX(T8,U8)</f>
        <v>753988.53490905883</v>
      </c>
      <c r="Z8" s="62">
        <f>MAX(T8,V8)</f>
        <v>567567</v>
      </c>
      <c r="AA8" s="140"/>
      <c r="AB8" s="62">
        <f t="shared" ref="AB8:AB32" si="4">E8+W8+P8+Y8+Q8+R8+X8</f>
        <v>847295.40777324955</v>
      </c>
      <c r="AC8" s="62">
        <f t="shared" ref="AC8:AC32" si="5">E8+W8+P8+Z8+Q8+R8+X8</f>
        <v>660873.87286419072</v>
      </c>
      <c r="AD8" s="62">
        <f>S8+W8+P8+Y8+Q8+R8+X8</f>
        <v>868838.36074348877</v>
      </c>
      <c r="AE8" s="62">
        <f>S8+W8+P8+Z8+Q8+R8+X8</f>
        <v>682416.82583442994</v>
      </c>
      <c r="AF8" s="138"/>
      <c r="AG8" s="62">
        <f>M8-AB8</f>
        <v>51678.149770295946</v>
      </c>
      <c r="AH8" s="62">
        <f>N8-AC8</f>
        <v>102331.40403797361</v>
      </c>
      <c r="AI8" s="62">
        <f>M8-AD8</f>
        <v>30135.196800056729</v>
      </c>
      <c r="AJ8" s="62">
        <f>N8-AE8</f>
        <v>80788.451067734393</v>
      </c>
    </row>
    <row r="9" spans="1:36" ht="15" customHeight="1" x14ac:dyDescent="0.25">
      <c r="A9" s="38">
        <v>1989</v>
      </c>
      <c r="B9" s="146">
        <f>'[1]Capped Flow'!C8</f>
        <v>27026.901000000009</v>
      </c>
      <c r="C9" s="146">
        <f>'[1]Capped Flow'!D8</f>
        <v>208816.73999999993</v>
      </c>
      <c r="D9" s="146">
        <f t="shared" ref="D9:D32" si="6">C9-B9</f>
        <v>181789.83899999992</v>
      </c>
      <c r="E9" s="146">
        <f>'[2]GW Depletions'!D16+'[2]GW Depletions'!C16</f>
        <v>7348.0581766929054</v>
      </c>
      <c r="F9" s="146">
        <f>IF('[2]Reservoir Evap'!C12&gt;0, '[2]Reservoir Evap'!C12, 0)</f>
        <v>69535.657181174873</v>
      </c>
      <c r="G9" s="146">
        <f>[2]SWCU!C11</f>
        <v>1380.3612355165917</v>
      </c>
      <c r="H9" s="146">
        <f>[2]SWCU!D11</f>
        <v>317.69681449629769</v>
      </c>
      <c r="I9"/>
      <c r="J9" s="78">
        <f t="shared" si="0"/>
        <v>260371.61240788057</v>
      </c>
      <c r="K9" s="155">
        <f>'[3]Req Inflow'!B8</f>
        <v>597182.87766589143</v>
      </c>
      <c r="L9" s="155">
        <f>'[3]Req Inflow'!C8</f>
        <v>597182.87766589143</v>
      </c>
      <c r="M9" s="43">
        <f t="shared" si="1"/>
        <v>857554.49007377203</v>
      </c>
      <c r="N9" s="43">
        <f t="shared" si="2"/>
        <v>857554.49007377203</v>
      </c>
      <c r="O9" s="3"/>
      <c r="P9" s="61">
        <f>[2]SWDemand!C15</f>
        <v>2174.6967199999999</v>
      </c>
      <c r="Q9" s="61">
        <f>[2]SWDemand!F15</f>
        <v>489.04304999999931</v>
      </c>
      <c r="R9" s="156">
        <f>'[2]M&amp;I COHYST Summary'!C9</f>
        <v>2133.7600000000002</v>
      </c>
      <c r="S9" s="43">
        <f>MAX([2]GWCU!F13*0.7+[2]GWCU!G13*0.7,E9)</f>
        <v>47588.21052416668</v>
      </c>
      <c r="T9" s="43">
        <f>IF('[3]DS Demand'!D8&gt;0,'[3]DS Demand'!D8,0)</f>
        <v>157977.82021666356</v>
      </c>
      <c r="U9" s="43">
        <f>IF(273*3465&gt;('Lewellen_NonIrrigation Season'!C9+'Lewellen_NonIrrigation Season'!B9),('Lewellen_NonIrrigation Season'!C9+'Lewellen_NonIrrigation Season'!B9),273*3465)</f>
        <v>722094.07454035827</v>
      </c>
      <c r="V9" s="43">
        <f>MIN(273*3762-'SPlatte_NonIrrigation Season'!P9,U9)</f>
        <v>722094.07454035827</v>
      </c>
      <c r="W9" s="62">
        <f>'[2]Net SW Loss'!C14+'[2]Net SW Loss'!D14</f>
        <v>12034.930000046008</v>
      </c>
      <c r="X9" s="61">
        <f t="shared" si="3"/>
        <v>69535.657181174873</v>
      </c>
      <c r="Y9" s="62">
        <f t="shared" ref="Y9:Y32" si="7">MAX(T9,U9)</f>
        <v>722094.07454035827</v>
      </c>
      <c r="Z9" s="62">
        <f t="shared" ref="Z9:Z32" si="8">MAX(T9,V9)</f>
        <v>722094.07454035827</v>
      </c>
      <c r="AA9" s="140"/>
      <c r="AB9" s="62">
        <f t="shared" si="4"/>
        <v>815810.21966827207</v>
      </c>
      <c r="AC9" s="62">
        <f t="shared" si="5"/>
        <v>815810.21966827207</v>
      </c>
      <c r="AD9" s="62">
        <f t="shared" ref="AD9:AD32" si="9">S9+W9+P9+Y9+Q9+R9+X9</f>
        <v>856050.37201574573</v>
      </c>
      <c r="AE9" s="62">
        <f t="shared" ref="AE9:AE32" si="10">S9+W9+P9+Z9+Q9+R9+X9</f>
        <v>856050.37201574573</v>
      </c>
      <c r="AF9" s="138"/>
      <c r="AG9" s="62">
        <f t="shared" ref="AG9:AG32" si="11">M9-AB9</f>
        <v>41744.270405499963</v>
      </c>
      <c r="AH9" s="62">
        <f t="shared" ref="AH9:AH32" si="12">N9-AC9</f>
        <v>41744.270405499963</v>
      </c>
      <c r="AI9" s="62">
        <f t="shared" ref="AI9:AI32" si="13">M9-AD9</f>
        <v>1504.1180580263026</v>
      </c>
      <c r="AJ9" s="62">
        <f t="shared" ref="AJ9:AJ32" si="14">N9-AE9</f>
        <v>1504.1180580263026</v>
      </c>
    </row>
    <row r="10" spans="1:36" x14ac:dyDescent="0.25">
      <c r="A10" s="38">
        <v>1990</v>
      </c>
      <c r="B10" s="146">
        <f>'[1]Capped Flow'!C9</f>
        <v>39674.824200000003</v>
      </c>
      <c r="C10" s="146">
        <f>'[1]Capped Flow'!D9</f>
        <v>233707.31999999983</v>
      </c>
      <c r="D10" s="146">
        <f t="shared" si="6"/>
        <v>194032.49579999983</v>
      </c>
      <c r="E10" s="146">
        <f>'[2]GW Depletions'!D17+'[2]GW Depletions'!C17</f>
        <v>10241.094977382301</v>
      </c>
      <c r="F10" s="146">
        <f>IF('[2]Reservoir Evap'!C13&gt;0, '[2]Reservoir Evap'!C13, 0)</f>
        <v>41766.757003027633</v>
      </c>
      <c r="G10" s="146">
        <f>[2]SWCU!C12</f>
        <v>1821.971735972259</v>
      </c>
      <c r="H10" s="146">
        <f>[2]SWCU!D12</f>
        <v>267.3229650012629</v>
      </c>
      <c r="I10"/>
      <c r="J10" s="78">
        <f t="shared" si="0"/>
        <v>248129.64248138329</v>
      </c>
      <c r="K10" s="155">
        <f>'[3]Req Inflow'!B9</f>
        <v>534997.42080974265</v>
      </c>
      <c r="L10" s="155">
        <f>'[3]Req Inflow'!C9</f>
        <v>534997.42080974265</v>
      </c>
      <c r="M10" s="43">
        <f t="shared" si="1"/>
        <v>783127.06329112593</v>
      </c>
      <c r="N10" s="43">
        <f t="shared" si="2"/>
        <v>783127.06329112593</v>
      </c>
      <c r="O10" s="3"/>
      <c r="P10" s="61">
        <f>[2]SWDemand!C16</f>
        <v>2844.1801500000001</v>
      </c>
      <c r="Q10" s="61">
        <f>[2]SWDemand!F16</f>
        <v>411.45436999999947</v>
      </c>
      <c r="R10" s="156">
        <f>'[2]M&amp;I COHYST Summary'!C10</f>
        <v>2385.6400000000008</v>
      </c>
      <c r="S10" s="43">
        <f>MAX([2]GWCU!F14*0.7+[2]GWCU!G14*0.7,E10)</f>
        <v>36696.92794250002</v>
      </c>
      <c r="T10" s="43">
        <f>IF('[3]DS Demand'!D9&gt;0,'[3]DS Demand'!D9,0)</f>
        <v>149571.21868131994</v>
      </c>
      <c r="U10" s="43">
        <f>IF(273*3465&gt;('Lewellen_NonIrrigation Season'!C10+'Lewellen_NonIrrigation Season'!B10),('Lewellen_NonIrrigation Season'!C10+'Lewellen_NonIrrigation Season'!B10),273*3465)</f>
        <v>672483.27822933218</v>
      </c>
      <c r="V10" s="43">
        <f>MIN(273*3762-'SPlatte_NonIrrigation Season'!P10,U10)</f>
        <v>672483.27822933218</v>
      </c>
      <c r="W10" s="62">
        <f>'[2]Net SW Loss'!C15+'[2]Net SW Loss'!D15</f>
        <v>11750.220000091016</v>
      </c>
      <c r="X10" s="61">
        <f t="shared" si="3"/>
        <v>41766.757003027633</v>
      </c>
      <c r="Y10" s="62">
        <f t="shared" si="7"/>
        <v>672483.27822933218</v>
      </c>
      <c r="Z10" s="62">
        <f t="shared" si="8"/>
        <v>672483.27822933218</v>
      </c>
      <c r="AA10" s="140"/>
      <c r="AB10" s="62">
        <f t="shared" si="4"/>
        <v>741882.62472983322</v>
      </c>
      <c r="AC10" s="62">
        <f t="shared" si="5"/>
        <v>741882.62472983322</v>
      </c>
      <c r="AD10" s="62">
        <f t="shared" si="9"/>
        <v>768338.45769495086</v>
      </c>
      <c r="AE10" s="62">
        <f t="shared" si="10"/>
        <v>768338.45769495086</v>
      </c>
      <c r="AF10" s="138"/>
      <c r="AG10" s="62">
        <f t="shared" si="11"/>
        <v>41244.438561292714</v>
      </c>
      <c r="AH10" s="62">
        <f t="shared" si="12"/>
        <v>41244.438561292714</v>
      </c>
      <c r="AI10" s="62">
        <f t="shared" si="13"/>
        <v>14788.605596175068</v>
      </c>
      <c r="AJ10" s="62">
        <f t="shared" si="14"/>
        <v>14788.605596175068</v>
      </c>
    </row>
    <row r="11" spans="1:36" x14ac:dyDescent="0.25">
      <c r="A11" s="38">
        <v>1991</v>
      </c>
      <c r="B11" s="146">
        <f>'[1]Capped Flow'!C10</f>
        <v>35194.499999999985</v>
      </c>
      <c r="C11" s="146">
        <f>'[1]Capped Flow'!D10</f>
        <v>231865.92000000007</v>
      </c>
      <c r="D11" s="146">
        <f t="shared" si="6"/>
        <v>196671.4200000001</v>
      </c>
      <c r="E11" s="146">
        <f>'[2]GW Depletions'!D18+'[2]GW Depletions'!C18</f>
        <v>11073.538833110744</v>
      </c>
      <c r="F11" s="146">
        <f>IF('[2]Reservoir Evap'!C14&gt;0, '[2]Reservoir Evap'!C14, 0)</f>
        <v>58166.085151715102</v>
      </c>
      <c r="G11" s="146">
        <f>[2]SWCU!C13</f>
        <v>1670.154258488591</v>
      </c>
      <c r="H11" s="146">
        <f>[2]SWCU!D13</f>
        <v>228.81605499895477</v>
      </c>
      <c r="I11"/>
      <c r="J11" s="78">
        <f t="shared" si="0"/>
        <v>267810.01429831353</v>
      </c>
      <c r="K11" s="155">
        <f>'[3]Req Inflow'!B10</f>
        <v>461239.77233475365</v>
      </c>
      <c r="L11" s="155">
        <f>'[3]Req Inflow'!C10</f>
        <v>461239.77233475365</v>
      </c>
      <c r="M11" s="43">
        <f t="shared" si="1"/>
        <v>729049.78663306718</v>
      </c>
      <c r="N11" s="43">
        <f t="shared" si="2"/>
        <v>729049.78663306718</v>
      </c>
      <c r="O11" s="3"/>
      <c r="P11" s="61">
        <f>[2]SWDemand!C17</f>
        <v>2641.6290999999983</v>
      </c>
      <c r="Q11" s="61">
        <f>[2]SWDemand!F17</f>
        <v>352.08030999999937</v>
      </c>
      <c r="R11" s="156">
        <f>'[2]M&amp;I COHYST Summary'!C11</f>
        <v>2609.46</v>
      </c>
      <c r="S11" s="43">
        <f>MAX([2]GWCU!F15*0.7+[2]GWCU!G15*0.7,E11)</f>
        <v>33682.23676999996</v>
      </c>
      <c r="T11" s="43">
        <f>IF('[3]DS Demand'!D10&gt;0,'[3]DS Demand'!D10,0)</f>
        <v>154684.52986822627</v>
      </c>
      <c r="U11" s="43">
        <f>IF(273*3465&gt;('Lewellen_NonIrrigation Season'!C11+'Lewellen_NonIrrigation Season'!B11),('Lewellen_NonIrrigation Season'!C11+'Lewellen_NonIrrigation Season'!B11),273*3465)</f>
        <v>590000.12586990581</v>
      </c>
      <c r="V11" s="43">
        <f>MIN(273*3762-'SPlatte_NonIrrigation Season'!P11,U11)</f>
        <v>590000.12586990581</v>
      </c>
      <c r="W11" s="62">
        <f>'[2]Net SW Loss'!C16+'[2]Net SW Loss'!D16</f>
        <v>11934.770000061031</v>
      </c>
      <c r="X11" s="61">
        <f t="shared" si="3"/>
        <v>58166.085151715102</v>
      </c>
      <c r="Y11" s="62">
        <f t="shared" si="7"/>
        <v>590000.12586990581</v>
      </c>
      <c r="Z11" s="62">
        <f t="shared" si="8"/>
        <v>590000.12586990581</v>
      </c>
      <c r="AA11" s="140"/>
      <c r="AB11" s="62">
        <f t="shared" si="4"/>
        <v>676777.6892647926</v>
      </c>
      <c r="AC11" s="62">
        <f t="shared" si="5"/>
        <v>676777.6892647926</v>
      </c>
      <c r="AD11" s="62">
        <f t="shared" si="9"/>
        <v>699386.38720168185</v>
      </c>
      <c r="AE11" s="62">
        <f t="shared" si="10"/>
        <v>699386.38720168185</v>
      </c>
      <c r="AF11" s="138"/>
      <c r="AG11" s="62">
        <f t="shared" si="11"/>
        <v>52272.097368274583</v>
      </c>
      <c r="AH11" s="62">
        <f t="shared" si="12"/>
        <v>52272.097368274583</v>
      </c>
      <c r="AI11" s="62">
        <f t="shared" si="13"/>
        <v>29663.399431385333</v>
      </c>
      <c r="AJ11" s="62">
        <f t="shared" si="14"/>
        <v>29663.399431385333</v>
      </c>
    </row>
    <row r="12" spans="1:36" x14ac:dyDescent="0.25">
      <c r="A12" s="38">
        <v>1992</v>
      </c>
      <c r="B12" s="146">
        <f>'[1]Capped Flow'!C11</f>
        <v>17411.822999999997</v>
      </c>
      <c r="C12" s="146">
        <f>'[1]Capped Flow'!D11</f>
        <v>229848.3</v>
      </c>
      <c r="D12" s="146">
        <f t="shared" si="6"/>
        <v>212436.47699999998</v>
      </c>
      <c r="E12" s="146">
        <f>'[2]GW Depletions'!D19+'[2]GW Depletions'!C19</f>
        <v>9700.9570068940084</v>
      </c>
      <c r="F12" s="146">
        <f>IF('[2]Reservoir Evap'!C15&gt;0, '[2]Reservoir Evap'!C15, 0)</f>
        <v>65450.002068449699</v>
      </c>
      <c r="G12" s="146">
        <f>[2]SWCU!C14</f>
        <v>882.07258749324944</v>
      </c>
      <c r="H12" s="146">
        <f>[2]SWCU!D14</f>
        <v>219.84606149838876</v>
      </c>
      <c r="I12"/>
      <c r="J12" s="78">
        <f t="shared" si="0"/>
        <v>288689.35472433531</v>
      </c>
      <c r="K12" s="155">
        <f>'[3]Req Inflow'!B11</f>
        <v>486505.21728751896</v>
      </c>
      <c r="L12" s="155">
        <f>'[3]Req Inflow'!C11</f>
        <v>486505.21728751896</v>
      </c>
      <c r="M12" s="43">
        <f t="shared" si="1"/>
        <v>775194.57201185427</v>
      </c>
      <c r="N12" s="43">
        <f t="shared" si="2"/>
        <v>775194.57201185427</v>
      </c>
      <c r="O12" s="3"/>
      <c r="P12" s="61">
        <f>[2]SWDemand!C18</f>
        <v>1440.0631599999979</v>
      </c>
      <c r="Q12" s="61">
        <f>[2]SWDemand!F18</f>
        <v>338.38818999999967</v>
      </c>
      <c r="R12" s="156">
        <f>'[2]M&amp;I COHYST Summary'!C12</f>
        <v>2620.6699999999996</v>
      </c>
      <c r="S12" s="43">
        <f>MAX([2]GWCU!F16*0.7+[2]GWCU!G16*0.7,E12)</f>
        <v>37769.153304166713</v>
      </c>
      <c r="T12" s="43">
        <f>IF('[3]DS Demand'!D11&gt;0,'[3]DS Demand'!D11,0)</f>
        <v>164177.15552851293</v>
      </c>
      <c r="U12" s="43">
        <f>IF(273*3465&gt;('Lewellen_NonIrrigation Season'!C12+'Lewellen_NonIrrigation Season'!B12),('Lewellen_NonIrrigation Season'!C12+'Lewellen_NonIrrigation Season'!B12),273*3465)</f>
        <v>625082.23518526158</v>
      </c>
      <c r="V12" s="43">
        <f>MIN(273*3762-'SPlatte_NonIrrigation Season'!P12,U12)</f>
        <v>625082.23518526158</v>
      </c>
      <c r="W12" s="62">
        <f>'[2]Net SW Loss'!C17+'[2]Net SW Loss'!D17</f>
        <v>11951.480000046004</v>
      </c>
      <c r="X12" s="61">
        <f t="shared" si="3"/>
        <v>65450.002068449699</v>
      </c>
      <c r="Y12" s="62">
        <f t="shared" si="7"/>
        <v>625082.23518526158</v>
      </c>
      <c r="Z12" s="62">
        <f t="shared" si="8"/>
        <v>625082.23518526158</v>
      </c>
      <c r="AA12" s="140"/>
      <c r="AB12" s="62">
        <f t="shared" si="4"/>
        <v>716583.79561065137</v>
      </c>
      <c r="AC12" s="62">
        <f t="shared" si="5"/>
        <v>716583.79561065137</v>
      </c>
      <c r="AD12" s="62">
        <f t="shared" si="9"/>
        <v>744651.99190792406</v>
      </c>
      <c r="AE12" s="62">
        <f t="shared" si="10"/>
        <v>744651.99190792406</v>
      </c>
      <c r="AF12" s="138"/>
      <c r="AG12" s="62">
        <f t="shared" si="11"/>
        <v>58610.776401202893</v>
      </c>
      <c r="AH12" s="62">
        <f t="shared" si="12"/>
        <v>58610.776401202893</v>
      </c>
      <c r="AI12" s="62">
        <f t="shared" si="13"/>
        <v>30542.580103930202</v>
      </c>
      <c r="AJ12" s="62">
        <f t="shared" si="14"/>
        <v>30542.580103930202</v>
      </c>
    </row>
    <row r="13" spans="1:36" x14ac:dyDescent="0.25">
      <c r="A13" s="38">
        <v>1993</v>
      </c>
      <c r="B13" s="146">
        <f>'[1]Capped Flow'!C12</f>
        <v>24675.750000000015</v>
      </c>
      <c r="C13" s="146">
        <f>'[1]Capped Flow'!D12</f>
        <v>222542.10000000006</v>
      </c>
      <c r="D13" s="146">
        <f t="shared" si="6"/>
        <v>197866.35000000003</v>
      </c>
      <c r="E13" s="146">
        <f>'[2]GW Depletions'!D20+'[2]GW Depletions'!C20</f>
        <v>10452.245758502409</v>
      </c>
      <c r="F13" s="146">
        <f>IF('[2]Reservoir Evap'!C16&gt;0, '[2]Reservoir Evap'!C16, 0)</f>
        <v>38072.481450193132</v>
      </c>
      <c r="G13" s="146">
        <f>[2]SWCU!C15</f>
        <v>726.81814399594998</v>
      </c>
      <c r="H13" s="146">
        <f>[2]SWCU!D15</f>
        <v>175.5230489992598</v>
      </c>
      <c r="I13"/>
      <c r="J13" s="78">
        <f t="shared" si="0"/>
        <v>247293.41840169075</v>
      </c>
      <c r="K13" s="155">
        <f>'[3]Req Inflow'!B12</f>
        <v>492681.29729413282</v>
      </c>
      <c r="L13" s="155">
        <f>'[3]Req Inflow'!C12</f>
        <v>453520.34798691521</v>
      </c>
      <c r="M13" s="43">
        <f t="shared" si="1"/>
        <v>739974.71569582354</v>
      </c>
      <c r="N13" s="43">
        <f t="shared" si="2"/>
        <v>700813.76638860593</v>
      </c>
      <c r="O13" s="3"/>
      <c r="P13" s="61">
        <f>[2]SWDemand!C19</f>
        <v>1203.9692299999988</v>
      </c>
      <c r="Q13" s="61">
        <f>[2]SWDemand!F19</f>
        <v>270.14399999999978</v>
      </c>
      <c r="R13" s="156">
        <f>'[2]M&amp;I COHYST Summary'!C13</f>
        <v>2637.27</v>
      </c>
      <c r="S13" s="43">
        <f>MAX([2]GWCU!F17*0.7+[2]GWCU!G17*0.7,E13)</f>
        <v>30699.020648333335</v>
      </c>
      <c r="T13" s="43">
        <f>IF('[3]DS Demand'!D12&gt;0,'[3]DS Demand'!D12,0)</f>
        <v>137358.6547204057</v>
      </c>
      <c r="U13" s="43">
        <f>IF(273*3465&gt;('Lewellen_NonIrrigation Season'!C13+'Lewellen_NonIrrigation Season'!B13),('Lewellen_NonIrrigation Season'!C13+'Lewellen_NonIrrigation Season'!B13),273*3465)</f>
        <v>625234.51974391646</v>
      </c>
      <c r="V13" s="43">
        <f>MIN(273*3762-'SPlatte_NonIrrigation Season'!P13,U13)</f>
        <v>571469.14193560625</v>
      </c>
      <c r="W13" s="62">
        <f>'[2]Net SW Loss'!C18+'[2]Net SW Loss'!D18</f>
        <v>11907.670000047003</v>
      </c>
      <c r="X13" s="61">
        <f t="shared" si="3"/>
        <v>38072.481450193132</v>
      </c>
      <c r="Y13" s="62">
        <f t="shared" si="7"/>
        <v>625234.51974391646</v>
      </c>
      <c r="Z13" s="62">
        <f t="shared" si="8"/>
        <v>571469.14193560625</v>
      </c>
      <c r="AA13" s="140"/>
      <c r="AB13" s="62">
        <f t="shared" si="4"/>
        <v>689778.30018265895</v>
      </c>
      <c r="AC13" s="62">
        <f t="shared" si="5"/>
        <v>636012.92237434874</v>
      </c>
      <c r="AD13" s="62">
        <f t="shared" si="9"/>
        <v>710025.07507248991</v>
      </c>
      <c r="AE13" s="62">
        <f t="shared" si="10"/>
        <v>656259.6972641797</v>
      </c>
      <c r="AF13" s="138"/>
      <c r="AG13" s="62">
        <f t="shared" si="11"/>
        <v>50196.415513164597</v>
      </c>
      <c r="AH13" s="62">
        <f t="shared" si="12"/>
        <v>64800.844014257193</v>
      </c>
      <c r="AI13" s="62">
        <f t="shared" si="13"/>
        <v>29949.640623333631</v>
      </c>
      <c r="AJ13" s="62">
        <f t="shared" si="14"/>
        <v>44554.069124426227</v>
      </c>
    </row>
    <row r="14" spans="1:36" x14ac:dyDescent="0.25">
      <c r="A14" s="38">
        <v>1994</v>
      </c>
      <c r="B14" s="146">
        <f>'[1]Capped Flow'!C13</f>
        <v>21067.793999999994</v>
      </c>
      <c r="C14" s="146">
        <f>'[1]Capped Flow'!D13</f>
        <v>206985.24</v>
      </c>
      <c r="D14" s="146">
        <f t="shared" si="6"/>
        <v>185917.446</v>
      </c>
      <c r="E14" s="146">
        <f>'[2]GW Depletions'!D21+'[2]GW Depletions'!C21</f>
        <v>11033.49914475124</v>
      </c>
      <c r="F14" s="146">
        <f>IF('[2]Reservoir Evap'!C17&gt;0, '[2]Reservoir Evap'!C17, 0)</f>
        <v>56843.273373998658</v>
      </c>
      <c r="G14" s="146">
        <f>[2]SWCU!C16</f>
        <v>1303.0952609987803</v>
      </c>
      <c r="H14" s="146">
        <f>[2]SWCU!D16</f>
        <v>233.31085050000007</v>
      </c>
      <c r="I14"/>
      <c r="J14" s="78">
        <f t="shared" si="0"/>
        <v>255330.62463024867</v>
      </c>
      <c r="K14" s="155">
        <f>'[3]Req Inflow'!B13</f>
        <v>596996.97831499006</v>
      </c>
      <c r="L14" s="155">
        <f>'[3]Req Inflow'!C13</f>
        <v>552452.3043775796</v>
      </c>
      <c r="M14" s="43">
        <f t="shared" si="1"/>
        <v>852327.6029452387</v>
      </c>
      <c r="N14" s="43">
        <f t="shared" si="2"/>
        <v>807782.92900782824</v>
      </c>
      <c r="O14" s="3"/>
      <c r="P14" s="61">
        <f>[2]SWDemand!C20</f>
        <v>2071.3760199999997</v>
      </c>
      <c r="Q14" s="61">
        <f>[2]SWDemand!F20</f>
        <v>359.06840999999986</v>
      </c>
      <c r="R14" s="156">
        <f>'[2]M&amp;I COHYST Summary'!C14</f>
        <v>2824.3699999999994</v>
      </c>
      <c r="S14" s="43">
        <f>MAX([2]GWCU!F18*0.7+[2]GWCU!G18*0.7,E14)</f>
        <v>38722.02198083335</v>
      </c>
      <c r="T14" s="43">
        <f>IF('[3]DS Demand'!D13&gt;0,'[3]DS Demand'!D13,0)</f>
        <v>151078.9975951942</v>
      </c>
      <c r="U14" s="43">
        <f>IF(273*3465&gt;('Lewellen_NonIrrigation Season'!C14+'Lewellen_NonIrrigation Season'!B14),('Lewellen_NonIrrigation Season'!C14+'Lewellen_NonIrrigation Season'!B14),273*3465)</f>
        <v>726932.65391549584</v>
      </c>
      <c r="V14" s="43">
        <f>MIN(273*3762-'SPlatte_NonIrrigation Season'!P14,U14)</f>
        <v>667428.13102077588</v>
      </c>
      <c r="W14" s="62">
        <f>'[2]Net SW Loss'!C19+'[2]Net SW Loss'!D19</f>
        <v>11644.680000061016</v>
      </c>
      <c r="X14" s="61">
        <f t="shared" si="3"/>
        <v>56843.273373998658</v>
      </c>
      <c r="Y14" s="62">
        <f t="shared" si="7"/>
        <v>726932.65391549584</v>
      </c>
      <c r="Z14" s="62">
        <f t="shared" si="8"/>
        <v>667428.13102077588</v>
      </c>
      <c r="AA14" s="140"/>
      <c r="AB14" s="62">
        <f t="shared" si="4"/>
        <v>811708.92086430674</v>
      </c>
      <c r="AC14" s="62">
        <f t="shared" si="5"/>
        <v>752204.39796958677</v>
      </c>
      <c r="AD14" s="62">
        <f t="shared" si="9"/>
        <v>839397.44370038889</v>
      </c>
      <c r="AE14" s="62">
        <f t="shared" si="10"/>
        <v>779892.92080566892</v>
      </c>
      <c r="AF14" s="138"/>
      <c r="AG14" s="62">
        <f t="shared" si="11"/>
        <v>40618.682080931962</v>
      </c>
      <c r="AH14" s="62">
        <f t="shared" si="12"/>
        <v>55578.531038241461</v>
      </c>
      <c r="AI14" s="62">
        <f t="shared" si="13"/>
        <v>12930.159244849812</v>
      </c>
      <c r="AJ14" s="62">
        <f t="shared" si="14"/>
        <v>27890.008202159312</v>
      </c>
    </row>
    <row r="15" spans="1:36" x14ac:dyDescent="0.25">
      <c r="A15" s="38">
        <v>1995</v>
      </c>
      <c r="B15" s="146">
        <f>'[1]Capped Flow'!C14</f>
        <v>19324.799999999988</v>
      </c>
      <c r="C15" s="146">
        <f>'[1]Capped Flow'!D14</f>
        <v>225882.36</v>
      </c>
      <c r="D15" s="146">
        <f t="shared" si="6"/>
        <v>206557.56</v>
      </c>
      <c r="E15" s="146">
        <f>'[2]GW Depletions'!D22+'[2]GW Depletions'!C22</f>
        <v>11432.092772275826</v>
      </c>
      <c r="F15" s="146">
        <f>IF('[2]Reservoir Evap'!C18&gt;0, '[2]Reservoir Evap'!C18, 0)</f>
        <v>65341.637661781351</v>
      </c>
      <c r="G15" s="146">
        <f>[2]SWCU!C17</f>
        <v>1592.1623055246487</v>
      </c>
      <c r="H15" s="146">
        <f>[2]SWCU!D17</f>
        <v>232.64105150635834</v>
      </c>
      <c r="I15"/>
      <c r="J15" s="78">
        <f t="shared" si="0"/>
        <v>285156.09379108815</v>
      </c>
      <c r="K15" s="155">
        <f>'[3]Req Inflow'!B14</f>
        <v>584691.25708201085</v>
      </c>
      <c r="L15" s="155">
        <f>'[3]Req Inflow'!C14</f>
        <v>584691.25708201085</v>
      </c>
      <c r="M15" s="43">
        <f t="shared" si="1"/>
        <v>869847.35087309894</v>
      </c>
      <c r="N15" s="43">
        <f t="shared" si="2"/>
        <v>869847.35087309894</v>
      </c>
      <c r="O15" s="3"/>
      <c r="P15" s="61">
        <f>[2]SWDemand!C21</f>
        <v>2494.7785000000003</v>
      </c>
      <c r="Q15" s="61">
        <f>[2]SWDemand!F21</f>
        <v>358.03325999999925</v>
      </c>
      <c r="R15" s="156">
        <f>'[2]M&amp;I COHYST Summary'!C15</f>
        <v>2995.45</v>
      </c>
      <c r="S15" s="43">
        <f>MAX([2]GWCU!F19*0.7+[2]GWCU!G19*0.7,E15)</f>
        <v>32693.598087499977</v>
      </c>
      <c r="T15" s="43">
        <f>IF('[3]DS Demand'!D14&gt;0,'[3]DS Demand'!D14,0)</f>
        <v>144654.59182012413</v>
      </c>
      <c r="U15" s="43">
        <f>IF(273*3465&gt;('Lewellen_NonIrrigation Season'!C15+'Lewellen_NonIrrigation Season'!B15),('Lewellen_NonIrrigation Season'!C15+'Lewellen_NonIrrigation Season'!B15),273*3465)</f>
        <v>730088.73634497228</v>
      </c>
      <c r="V15" s="43">
        <f>MIN(273*3762-'SPlatte_NonIrrigation Season'!P15,U15)</f>
        <v>730088.73634497228</v>
      </c>
      <c r="W15" s="62">
        <f>'[2]Net SW Loss'!C20+'[2]Net SW Loss'!D20</f>
        <v>11554.309999522</v>
      </c>
      <c r="X15" s="61">
        <f t="shared" si="3"/>
        <v>65341.637661781351</v>
      </c>
      <c r="Y15" s="62">
        <f t="shared" si="7"/>
        <v>730088.73634497228</v>
      </c>
      <c r="Z15" s="62">
        <f t="shared" si="8"/>
        <v>730088.73634497228</v>
      </c>
      <c r="AA15" s="140"/>
      <c r="AB15" s="62">
        <f t="shared" si="4"/>
        <v>824265.03853855154</v>
      </c>
      <c r="AC15" s="62">
        <f t="shared" si="5"/>
        <v>824265.03853855154</v>
      </c>
      <c r="AD15" s="62">
        <f t="shared" si="9"/>
        <v>845526.54385377571</v>
      </c>
      <c r="AE15" s="62">
        <f t="shared" si="10"/>
        <v>845526.54385377571</v>
      </c>
      <c r="AF15" s="138"/>
      <c r="AG15" s="62">
        <f t="shared" si="11"/>
        <v>45582.312334547401</v>
      </c>
      <c r="AH15" s="62">
        <f t="shared" si="12"/>
        <v>45582.312334547401</v>
      </c>
      <c r="AI15" s="62">
        <f t="shared" si="13"/>
        <v>24320.807019323227</v>
      </c>
      <c r="AJ15" s="62">
        <f t="shared" si="14"/>
        <v>24320.807019323227</v>
      </c>
    </row>
    <row r="16" spans="1:36" x14ac:dyDescent="0.25">
      <c r="A16" s="38">
        <v>1996</v>
      </c>
      <c r="B16" s="146">
        <f>'[1]Capped Flow'!C15</f>
        <v>61857.971999999994</v>
      </c>
      <c r="C16" s="146">
        <f>'[1]Capped Flow'!D15</f>
        <v>231539.22000000009</v>
      </c>
      <c r="D16" s="146">
        <f t="shared" si="6"/>
        <v>169681.24800000008</v>
      </c>
      <c r="E16" s="146">
        <f>'[2]GW Depletions'!D23+'[2]GW Depletions'!C23</f>
        <v>10755.592250466805</v>
      </c>
      <c r="F16" s="146">
        <f>IF('[2]Reservoir Evap'!C19&gt;0, '[2]Reservoir Evap'!C19, 0)</f>
        <v>52123.479655834904</v>
      </c>
      <c r="G16" s="146">
        <f>[2]SWCU!C18</f>
        <v>925.84077299816988</v>
      </c>
      <c r="H16" s="146">
        <f>[2]SWCU!D18</f>
        <v>185.81173650004388</v>
      </c>
      <c r="I16"/>
      <c r="J16" s="78">
        <f t="shared" si="0"/>
        <v>233671.9724158</v>
      </c>
      <c r="K16" s="155">
        <f>'[3]Req Inflow'!B15</f>
        <v>649648.82400984736</v>
      </c>
      <c r="L16" s="155">
        <f>'[3]Req Inflow'!C15</f>
        <v>509916.23940033885</v>
      </c>
      <c r="M16" s="43">
        <f t="shared" si="1"/>
        <v>883320.79642564734</v>
      </c>
      <c r="N16" s="43">
        <f t="shared" si="2"/>
        <v>743588.21181613882</v>
      </c>
      <c r="O16" s="3"/>
      <c r="P16" s="61">
        <f>[2]SWDemand!C22</f>
        <v>1471.5290400000013</v>
      </c>
      <c r="Q16" s="61">
        <f>[2]SWDemand!F22</f>
        <v>285.98882999999978</v>
      </c>
      <c r="R16" s="156">
        <f>'[2]M&amp;I COHYST Summary'!C16</f>
        <v>3006.6800000000003</v>
      </c>
      <c r="S16" s="43">
        <f>MAX([2]GWCU!F20*0.7+[2]GWCU!G20*0.7,E16)</f>
        <v>32491.009489166674</v>
      </c>
      <c r="T16" s="43">
        <f>IF('[3]DS Demand'!D15&gt;0,'[3]DS Demand'!D15,0)</f>
        <v>191365.90911997235</v>
      </c>
      <c r="U16" s="43">
        <f>IF(273*3465&gt;('Lewellen_NonIrrigation Season'!C16+'Lewellen_NonIrrigation Season'!B16),('Lewellen_NonIrrigation Season'!C16+'Lewellen_NonIrrigation Season'!B16),273*3465)</f>
        <v>771174.78325862961</v>
      </c>
      <c r="V16" s="43">
        <f>MIN(273*3762-'SPlatte_NonIrrigation Season'!P16,U16)</f>
        <v>591200.70557610202</v>
      </c>
      <c r="W16" s="62">
        <f>'[2]Net SW Loss'!C21+'[2]Net SW Loss'!D21</f>
        <v>11970.960000070996</v>
      </c>
      <c r="X16" s="61">
        <f t="shared" si="3"/>
        <v>52123.479655834904</v>
      </c>
      <c r="Y16" s="62">
        <f t="shared" si="7"/>
        <v>771174.78325862961</v>
      </c>
      <c r="Z16" s="62">
        <f t="shared" si="8"/>
        <v>591200.70557610202</v>
      </c>
      <c r="AA16" s="140"/>
      <c r="AB16" s="62">
        <f t="shared" si="4"/>
        <v>850789.0130350024</v>
      </c>
      <c r="AC16" s="62">
        <f t="shared" si="5"/>
        <v>670814.93535247492</v>
      </c>
      <c r="AD16" s="62">
        <f t="shared" si="9"/>
        <v>872524.43027370237</v>
      </c>
      <c r="AE16" s="62">
        <f t="shared" si="10"/>
        <v>692550.35259117465</v>
      </c>
      <c r="AF16" s="138"/>
      <c r="AG16" s="62">
        <f t="shared" si="11"/>
        <v>32531.783390644938</v>
      </c>
      <c r="AH16" s="62">
        <f t="shared" si="12"/>
        <v>72773.276463663904</v>
      </c>
      <c r="AI16" s="62">
        <f t="shared" si="13"/>
        <v>10796.366151944967</v>
      </c>
      <c r="AJ16" s="62">
        <f t="shared" si="14"/>
        <v>51037.859224964166</v>
      </c>
    </row>
    <row r="17" spans="1:36" x14ac:dyDescent="0.25">
      <c r="A17" s="38">
        <v>1997</v>
      </c>
      <c r="B17" s="146">
        <f>'[1]Capped Flow'!C16</f>
        <v>32050.260000000002</v>
      </c>
      <c r="C17" s="146">
        <f>'[1]Capped Flow'!D16</f>
        <v>240526.44000000006</v>
      </c>
      <c r="D17" s="146">
        <f t="shared" si="6"/>
        <v>208476.18000000005</v>
      </c>
      <c r="E17" s="146">
        <f>'[2]GW Depletions'!D24+'[2]GW Depletions'!C24</f>
        <v>10422.247172297362</v>
      </c>
      <c r="F17" s="146">
        <f>IF('[2]Reservoir Evap'!C20&gt;0, '[2]Reservoir Evap'!C20, 0)</f>
        <v>94166.353368272219</v>
      </c>
      <c r="G17" s="146">
        <f>[2]SWCU!C19</f>
        <v>1470.9478484958634</v>
      </c>
      <c r="H17" s="146">
        <f>[2]SWCU!D19</f>
        <v>243.91701750635863</v>
      </c>
      <c r="I17"/>
      <c r="J17" s="78">
        <f t="shared" si="0"/>
        <v>314779.64540657186</v>
      </c>
      <c r="K17" s="155">
        <f>'[3]Req Inflow'!B16</f>
        <v>811901.90079204075</v>
      </c>
      <c r="L17" s="155">
        <f>'[3]Req Inflow'!C16</f>
        <v>520550.81815679173</v>
      </c>
      <c r="M17" s="43">
        <f t="shared" si="1"/>
        <v>1126681.5461986125</v>
      </c>
      <c r="N17" s="43">
        <f t="shared" si="2"/>
        <v>835330.46356336353</v>
      </c>
      <c r="O17" s="3"/>
      <c r="P17" s="61">
        <f>[2]SWDemand!C23</f>
        <v>2281.2876899999974</v>
      </c>
      <c r="Q17" s="61">
        <f>[2]SWDemand!F23</f>
        <v>375.44990999999936</v>
      </c>
      <c r="R17" s="156">
        <f>'[2]M&amp;I COHYST Summary'!C17</f>
        <v>3018.17</v>
      </c>
      <c r="S17" s="43">
        <f>MAX([2]GWCU!F21*0.7+[2]GWCU!G21*0.7,E17)</f>
        <v>38937.75263583332</v>
      </c>
      <c r="T17" s="43">
        <f>IF('[3]DS Demand'!D16&gt;0,'[3]DS Demand'!D16,0)</f>
        <v>194767.26568617829</v>
      </c>
      <c r="U17" s="43">
        <f>IF(273*3465&gt;('Lewellen_NonIrrigation Season'!C17+'Lewellen_NonIrrigation Season'!B17),('Lewellen_NonIrrigation Season'!C17+'Lewellen_NonIrrigation Season'!B17),273*3465)</f>
        <v>945945</v>
      </c>
      <c r="V17" s="43">
        <f>MIN(273*3762-'SPlatte_NonIrrigation Season'!P17,U17)</f>
        <v>567567</v>
      </c>
      <c r="W17" s="62">
        <f>'[2]Net SW Loss'!C22+'[2]Net SW Loss'!D22</f>
        <v>12025.330000002004</v>
      </c>
      <c r="X17" s="61">
        <f t="shared" si="3"/>
        <v>94166.353368272219</v>
      </c>
      <c r="Y17" s="62">
        <f t="shared" si="7"/>
        <v>945945</v>
      </c>
      <c r="Z17" s="62">
        <f t="shared" si="8"/>
        <v>567567</v>
      </c>
      <c r="AA17" s="140"/>
      <c r="AB17" s="62">
        <f t="shared" si="4"/>
        <v>1068233.8381405717</v>
      </c>
      <c r="AC17" s="62">
        <f t="shared" si="5"/>
        <v>689855.83814057161</v>
      </c>
      <c r="AD17" s="62">
        <f t="shared" si="9"/>
        <v>1096749.3436041076</v>
      </c>
      <c r="AE17" s="62">
        <f t="shared" si="10"/>
        <v>718371.3436041075</v>
      </c>
      <c r="AF17" s="138"/>
      <c r="AG17" s="62">
        <f t="shared" si="11"/>
        <v>58447.708058040822</v>
      </c>
      <c r="AH17" s="62">
        <f t="shared" si="12"/>
        <v>145474.62542279193</v>
      </c>
      <c r="AI17" s="62">
        <f t="shared" si="13"/>
        <v>29932.202594504924</v>
      </c>
      <c r="AJ17" s="62">
        <f t="shared" si="14"/>
        <v>116959.11995925603</v>
      </c>
    </row>
    <row r="18" spans="1:36" x14ac:dyDescent="0.25">
      <c r="A18" s="38">
        <v>1998</v>
      </c>
      <c r="B18" s="146">
        <f>'[1]Capped Flow'!C17</f>
        <v>259524.89639999997</v>
      </c>
      <c r="C18" s="146">
        <f>'[1]Capped Flow'!D17</f>
        <v>434487.24</v>
      </c>
      <c r="D18" s="146">
        <f t="shared" si="6"/>
        <v>174962.34360000002</v>
      </c>
      <c r="E18" s="146">
        <f>'[2]GW Depletions'!D25+'[2]GW Depletions'!C25</f>
        <v>11037.709490826976</v>
      </c>
      <c r="F18" s="146">
        <f>IF('[2]Reservoir Evap'!C21&gt;0, '[2]Reservoir Evap'!C21, 0)</f>
        <v>67078.704809315634</v>
      </c>
      <c r="G18" s="146">
        <f>[2]SWCU!C20</f>
        <v>1110.4287544957324</v>
      </c>
      <c r="H18" s="146">
        <f>[2]SWCU!D20</f>
        <v>201.6478229980404</v>
      </c>
      <c r="I18"/>
      <c r="J18" s="78">
        <f t="shared" si="0"/>
        <v>254390.83447763638</v>
      </c>
      <c r="K18" s="155">
        <f>'[3]Req Inflow'!B17</f>
        <v>828974.45706179319</v>
      </c>
      <c r="L18" s="155">
        <f>'[3]Req Inflow'!C17</f>
        <v>523339.11096500326</v>
      </c>
      <c r="M18" s="43">
        <f t="shared" si="1"/>
        <v>1083365.2915394297</v>
      </c>
      <c r="N18" s="43">
        <f t="shared" si="2"/>
        <v>777729.94544263964</v>
      </c>
      <c r="O18" s="3"/>
      <c r="P18" s="61">
        <f>[2]SWDemand!C24</f>
        <v>1718.4628999999986</v>
      </c>
      <c r="Q18" s="61">
        <f>[2]SWDemand!F24</f>
        <v>310.30447000000004</v>
      </c>
      <c r="R18" s="156">
        <f>'[2]M&amp;I COHYST Summary'!C18</f>
        <v>3263.86</v>
      </c>
      <c r="S18" s="43">
        <f>MAX([2]GWCU!F22*0.7+[2]GWCU!G22*0.7,E18)</f>
        <v>33873.379166666688</v>
      </c>
      <c r="T18" s="43">
        <f>IF('[3]DS Demand'!D17&gt;0,'[3]DS Demand'!D17,0)</f>
        <v>139608.07543608011</v>
      </c>
      <c r="U18" s="43">
        <f>IF(273*3465&gt;('Lewellen_NonIrrigation Season'!C18+'Lewellen_NonIrrigation Season'!B18),('Lewellen_NonIrrigation Season'!C18+'Lewellen_NonIrrigation Season'!B18),273*3465)</f>
        <v>945945</v>
      </c>
      <c r="V18" s="43">
        <f>MIN(273*3762-'SPlatte_NonIrrigation Season'!P18,U18)</f>
        <v>567567</v>
      </c>
      <c r="W18" s="62">
        <f>'[2]Net SW Loss'!C23+'[2]Net SW Loss'!D23</f>
        <v>11532.119999521998</v>
      </c>
      <c r="X18" s="61">
        <f t="shared" si="3"/>
        <v>67078.704809315634</v>
      </c>
      <c r="Y18" s="62">
        <f t="shared" si="7"/>
        <v>945945</v>
      </c>
      <c r="Z18" s="62">
        <f t="shared" si="8"/>
        <v>567567</v>
      </c>
      <c r="AA18" s="140"/>
      <c r="AB18" s="62">
        <f t="shared" si="4"/>
        <v>1040886.1616696646</v>
      </c>
      <c r="AC18" s="62">
        <f t="shared" si="5"/>
        <v>662508.16166966455</v>
      </c>
      <c r="AD18" s="62">
        <f t="shared" si="9"/>
        <v>1063721.8313455044</v>
      </c>
      <c r="AE18" s="62">
        <f t="shared" si="10"/>
        <v>685343.83134550427</v>
      </c>
      <c r="AF18" s="138"/>
      <c r="AG18" s="62">
        <f t="shared" si="11"/>
        <v>42479.129869765136</v>
      </c>
      <c r="AH18" s="62">
        <f t="shared" si="12"/>
        <v>115221.78377297509</v>
      </c>
      <c r="AI18" s="62">
        <f t="shared" si="13"/>
        <v>19643.460193925304</v>
      </c>
      <c r="AJ18" s="62">
        <f t="shared" si="14"/>
        <v>92386.114097135374</v>
      </c>
    </row>
    <row r="19" spans="1:36" x14ac:dyDescent="0.25">
      <c r="A19" s="38">
        <v>1999</v>
      </c>
      <c r="B19" s="146">
        <f>'[1]Capped Flow'!C18</f>
        <v>39561.588000000003</v>
      </c>
      <c r="C19" s="146">
        <f>'[1]Capped Flow'!D18</f>
        <v>243211.32000000007</v>
      </c>
      <c r="D19" s="146">
        <f t="shared" si="6"/>
        <v>203649.73200000008</v>
      </c>
      <c r="E19" s="146">
        <f>'[2]GW Depletions'!D26+'[2]GW Depletions'!C26</f>
        <v>11138.76670340521</v>
      </c>
      <c r="F19" s="146">
        <f>IF('[2]Reservoir Evap'!C22&gt;0, '[2]Reservoir Evap'!C22, 0)</f>
        <v>60017.393616085552</v>
      </c>
      <c r="G19" s="146">
        <f>[2]SWCU!C21</f>
        <v>1086.017237490594</v>
      </c>
      <c r="H19" s="146">
        <f>[2]SWCU!D21</f>
        <v>237.10666850213414</v>
      </c>
      <c r="I19"/>
      <c r="J19" s="78">
        <f t="shared" si="0"/>
        <v>276129.01622548356</v>
      </c>
      <c r="K19" s="155">
        <f>'[3]Req Inflow'!B18</f>
        <v>796778.74420352001</v>
      </c>
      <c r="L19" s="155">
        <f>'[3]Req Inflow'!C18</f>
        <v>500999.78120526834</v>
      </c>
      <c r="M19" s="43">
        <f t="shared" si="1"/>
        <v>1072907.7604290035</v>
      </c>
      <c r="N19" s="43">
        <f t="shared" si="2"/>
        <v>777128.79743075185</v>
      </c>
      <c r="O19" s="3"/>
      <c r="P19" s="61">
        <f>[2]SWDemand!C25</f>
        <v>1725.4141500000005</v>
      </c>
      <c r="Q19" s="61">
        <f>[2]SWDemand!F25</f>
        <v>364.86524999999983</v>
      </c>
      <c r="R19" s="156">
        <f>'[2]M&amp;I COHYST Summary'!C19</f>
        <v>3481.9600000000005</v>
      </c>
      <c r="S19" s="43">
        <f>MAX([2]GWCU!F23*0.7+[2]GWCU!G23*0.7,E19)</f>
        <v>36662.077293333292</v>
      </c>
      <c r="T19" s="43">
        <f>IF('[3]DS Demand'!D18&gt;0,'[3]DS Demand'!D18,0)</f>
        <v>182218.70665152883</v>
      </c>
      <c r="U19" s="43">
        <f>IF(273*3465&gt;('Lewellen_NonIrrigation Season'!C19+'Lewellen_NonIrrigation Season'!B19),('Lewellen_NonIrrigation Season'!C19+'Lewellen_NonIrrigation Season'!B19),273*3465)</f>
        <v>945945</v>
      </c>
      <c r="V19" s="43">
        <f>MIN(273*3762-'SPlatte_NonIrrigation Season'!P19,U19)</f>
        <v>567567</v>
      </c>
      <c r="W19" s="62">
        <f>'[2]Net SW Loss'!C24+'[2]Net SW Loss'!D24</f>
        <v>11598.840000076016</v>
      </c>
      <c r="X19" s="61">
        <f t="shared" si="3"/>
        <v>60017.393616085552</v>
      </c>
      <c r="Y19" s="62">
        <f t="shared" si="7"/>
        <v>945945</v>
      </c>
      <c r="Z19" s="62">
        <f t="shared" si="8"/>
        <v>567567</v>
      </c>
      <c r="AA19" s="140"/>
      <c r="AB19" s="62">
        <f t="shared" si="4"/>
        <v>1034272.2397195668</v>
      </c>
      <c r="AC19" s="62">
        <f t="shared" si="5"/>
        <v>655894.23971956677</v>
      </c>
      <c r="AD19" s="62">
        <f t="shared" si="9"/>
        <v>1059795.5503094948</v>
      </c>
      <c r="AE19" s="62">
        <f t="shared" si="10"/>
        <v>681417.55030949484</v>
      </c>
      <c r="AF19" s="138"/>
      <c r="AG19" s="62">
        <f t="shared" si="11"/>
        <v>38635.520709436736</v>
      </c>
      <c r="AH19" s="62">
        <f t="shared" si="12"/>
        <v>121234.55771118507</v>
      </c>
      <c r="AI19" s="62">
        <f t="shared" si="13"/>
        <v>13112.210119508673</v>
      </c>
      <c r="AJ19" s="62">
        <f t="shared" si="14"/>
        <v>95711.247121257009</v>
      </c>
    </row>
    <row r="20" spans="1:36" x14ac:dyDescent="0.25">
      <c r="A20" s="38">
        <v>2000</v>
      </c>
      <c r="B20" s="146">
        <f>'[1]Capped Flow'!C19</f>
        <v>115515.04139999993</v>
      </c>
      <c r="C20" s="146">
        <f>'[1]Capped Flow'!D19</f>
        <v>285317.99999999994</v>
      </c>
      <c r="D20" s="146">
        <f t="shared" si="6"/>
        <v>169802.95860000001</v>
      </c>
      <c r="E20" s="146">
        <f>'[2]GW Depletions'!D27+'[2]GW Depletions'!C27</f>
        <v>11666.316946518962</v>
      </c>
      <c r="F20" s="146">
        <f>IF('[2]Reservoir Evap'!C23&gt;0, '[2]Reservoir Evap'!C23, 0)</f>
        <v>65404.606779852271</v>
      </c>
      <c r="G20" s="146">
        <f>[2]SWCU!C22</f>
        <v>1845.0728335150693</v>
      </c>
      <c r="H20" s="146">
        <f>[2]SWCU!D22</f>
        <v>271.32912950034853</v>
      </c>
      <c r="I20"/>
      <c r="J20" s="78">
        <f t="shared" si="0"/>
        <v>248990.28428938665</v>
      </c>
      <c r="K20" s="155">
        <f>'[3]Req Inflow'!B19</f>
        <v>716052.25664331228</v>
      </c>
      <c r="L20" s="155">
        <f>'[3]Req Inflow'!C19</f>
        <v>503338.90234579641</v>
      </c>
      <c r="M20" s="43">
        <f t="shared" si="1"/>
        <v>965042.54093269887</v>
      </c>
      <c r="N20" s="43">
        <f t="shared" si="2"/>
        <v>752329.18663518305</v>
      </c>
      <c r="O20" s="3"/>
      <c r="P20" s="61">
        <f>[2]SWDemand!C26</f>
        <v>2849.2634400000024</v>
      </c>
      <c r="Q20" s="61">
        <f>[2]SWDemand!F26</f>
        <v>417.60429999999997</v>
      </c>
      <c r="R20" s="156">
        <f>'[2]M&amp;I COHYST Summary'!C20</f>
        <v>3495.4500000000003</v>
      </c>
      <c r="S20" s="43">
        <f>MAX([2]GWCU!F24*0.7+[2]GWCU!G24*0.7,E20)</f>
        <v>42814.531007500002</v>
      </c>
      <c r="T20" s="43">
        <f>IF('[3]DS Demand'!D19&gt;0,'[3]DS Demand'!D19,0)</f>
        <v>160051.5108865698</v>
      </c>
      <c r="U20" s="43">
        <f>IF(273*3465&gt;('Lewellen_NonIrrigation Season'!C20+'Lewellen_NonIrrigation Season'!B20),('Lewellen_NonIrrigation Season'!C20+'Lewellen_NonIrrigation Season'!B20),273*3465)</f>
        <v>841452.02389582864</v>
      </c>
      <c r="V20" s="43">
        <f>MIN(273*3762-'SPlatte_NonIrrigation Season'!P20,U20)</f>
        <v>567567</v>
      </c>
      <c r="W20" s="62">
        <f>'[2]Net SW Loss'!C25+'[2]Net SW Loss'!D25</f>
        <v>12267.200000046005</v>
      </c>
      <c r="X20" s="61">
        <f t="shared" si="3"/>
        <v>65404.606779852271</v>
      </c>
      <c r="Y20" s="62">
        <f t="shared" si="7"/>
        <v>841452.02389582864</v>
      </c>
      <c r="Z20" s="62">
        <f t="shared" si="8"/>
        <v>567567</v>
      </c>
      <c r="AA20" s="140"/>
      <c r="AB20" s="62">
        <f t="shared" si="4"/>
        <v>937552.46536224592</v>
      </c>
      <c r="AC20" s="62">
        <f t="shared" si="5"/>
        <v>663667.44146641728</v>
      </c>
      <c r="AD20" s="62">
        <f t="shared" si="9"/>
        <v>968700.67942322686</v>
      </c>
      <c r="AE20" s="62">
        <f t="shared" si="10"/>
        <v>694815.65552739822</v>
      </c>
      <c r="AF20" s="138"/>
      <c r="AG20" s="62">
        <f t="shared" si="11"/>
        <v>27490.075570452958</v>
      </c>
      <c r="AH20" s="62">
        <f t="shared" si="12"/>
        <v>88661.745168765774</v>
      </c>
      <c r="AI20" s="62">
        <f t="shared" si="13"/>
        <v>-3658.1384905279847</v>
      </c>
      <c r="AJ20" s="62">
        <f t="shared" si="14"/>
        <v>57513.531107784831</v>
      </c>
    </row>
    <row r="21" spans="1:36" x14ac:dyDescent="0.25">
      <c r="A21" s="38">
        <v>2001</v>
      </c>
      <c r="B21" s="146">
        <f>'[1]Capped Flow'!C20</f>
        <v>18657.777600000005</v>
      </c>
      <c r="C21" s="146">
        <f>'[1]Capped Flow'!D20</f>
        <v>228670.19999999998</v>
      </c>
      <c r="D21" s="146">
        <f t="shared" si="6"/>
        <v>210012.42239999998</v>
      </c>
      <c r="E21" s="146">
        <f>'[2]GW Depletions'!D28+'[2]GW Depletions'!C28</f>
        <v>12345.489039494834</v>
      </c>
      <c r="F21" s="146">
        <f>IF('[2]Reservoir Evap'!C24&gt;0, '[2]Reservoir Evap'!C24, 0)</f>
        <v>42576.11345468511</v>
      </c>
      <c r="G21" s="146">
        <f>[2]SWCU!C23</f>
        <v>1538.1620474925103</v>
      </c>
      <c r="H21" s="146">
        <f>[2]SWCU!D23</f>
        <v>220.97749050283107</v>
      </c>
      <c r="I21"/>
      <c r="J21" s="78">
        <f t="shared" si="0"/>
        <v>266693.16443217522</v>
      </c>
      <c r="K21" s="155">
        <f>'[3]Req Inflow'!B20</f>
        <v>596674.92204984766</v>
      </c>
      <c r="L21" s="155">
        <f>'[3]Req Inflow'!C20</f>
        <v>596674.92204984766</v>
      </c>
      <c r="M21" s="43">
        <f t="shared" si="1"/>
        <v>863368.08648202289</v>
      </c>
      <c r="N21" s="43">
        <f t="shared" si="2"/>
        <v>863368.08648202289</v>
      </c>
      <c r="O21" s="3"/>
      <c r="P21" s="61">
        <f>[2]SWDemand!C27</f>
        <v>2462.8101200000019</v>
      </c>
      <c r="Q21" s="61">
        <f>[2]SWDemand!F27</f>
        <v>340.07592000000022</v>
      </c>
      <c r="R21" s="156">
        <f>'[2]M&amp;I COHYST Summary'!C21</f>
        <v>3504.34</v>
      </c>
      <c r="S21" s="43">
        <f>MAX([2]GWCU!F25*0.7+[2]GWCU!G25*0.7,E21)</f>
        <v>35856.217360833347</v>
      </c>
      <c r="T21" s="43">
        <f>IF('[3]DS Demand'!D20&gt;0,'[3]DS Demand'!D20,0)</f>
        <v>158843.42590961629</v>
      </c>
      <c r="U21" s="43">
        <f>IF(273*3465&gt;('Lewellen_NonIrrigation Season'!C21+'Lewellen_NonIrrigation Season'!B21),('Lewellen_NonIrrigation Season'!C21+'Lewellen_NonIrrigation Season'!B21),273*3465)</f>
        <v>747025.69523110462</v>
      </c>
      <c r="V21" s="43">
        <f>MIN(273*3762-'SPlatte_NonIrrigation Season'!P21,U21)</f>
        <v>747025.69523110462</v>
      </c>
      <c r="W21" s="62">
        <f>'[2]Net SW Loss'!C26+'[2]Net SW Loss'!D26</f>
        <v>11929.540000046009</v>
      </c>
      <c r="X21" s="61">
        <f t="shared" si="3"/>
        <v>42576.11345468511</v>
      </c>
      <c r="Y21" s="62">
        <f t="shared" si="7"/>
        <v>747025.69523110462</v>
      </c>
      <c r="Z21" s="62">
        <f t="shared" si="8"/>
        <v>747025.69523110462</v>
      </c>
      <c r="AA21" s="140"/>
      <c r="AB21" s="62">
        <f t="shared" si="4"/>
        <v>820184.06376533047</v>
      </c>
      <c r="AC21" s="62">
        <f t="shared" si="5"/>
        <v>820184.06376533047</v>
      </c>
      <c r="AD21" s="62">
        <f t="shared" si="9"/>
        <v>843694.79208666901</v>
      </c>
      <c r="AE21" s="62">
        <f t="shared" si="10"/>
        <v>843694.79208666901</v>
      </c>
      <c r="AF21" s="138"/>
      <c r="AG21" s="62">
        <f t="shared" si="11"/>
        <v>43184.022716692416</v>
      </c>
      <c r="AH21" s="62">
        <f t="shared" si="12"/>
        <v>43184.022716692416</v>
      </c>
      <c r="AI21" s="62">
        <f t="shared" si="13"/>
        <v>19673.294395353878</v>
      </c>
      <c r="AJ21" s="62">
        <f t="shared" si="14"/>
        <v>19673.294395353878</v>
      </c>
    </row>
    <row r="22" spans="1:36" x14ac:dyDescent="0.25">
      <c r="A22" s="38">
        <v>2002</v>
      </c>
      <c r="B22" s="146">
        <f>'[1]Capped Flow'!C21</f>
        <v>23898.560400000013</v>
      </c>
      <c r="C22" s="146">
        <f>'[1]Capped Flow'!D21</f>
        <v>186118.02</v>
      </c>
      <c r="D22" s="146">
        <f t="shared" si="6"/>
        <v>162219.45959999997</v>
      </c>
      <c r="E22" s="146">
        <f>'[2]GW Depletions'!D29+'[2]GW Depletions'!C29</f>
        <v>11497.343618465611</v>
      </c>
      <c r="F22" s="146">
        <f>IF('[2]Reservoir Evap'!C25&gt;0, '[2]Reservoir Evap'!C25, 0)</f>
        <v>49073.703357624661</v>
      </c>
      <c r="G22" s="146">
        <f>[2]SWCU!C24</f>
        <v>1567.3592740244749</v>
      </c>
      <c r="H22" s="146">
        <f>[2]SWCU!D24</f>
        <v>383.19993400457241</v>
      </c>
      <c r="I22"/>
      <c r="J22" s="78">
        <f t="shared" si="0"/>
        <v>224741.06578411927</v>
      </c>
      <c r="K22" s="155">
        <f>'[3]Req Inflow'!B21</f>
        <v>570221.7129424857</v>
      </c>
      <c r="L22" s="155">
        <f>'[3]Req Inflow'!C21</f>
        <v>570221.7129424857</v>
      </c>
      <c r="M22" s="43">
        <f t="shared" si="1"/>
        <v>794962.778726605</v>
      </c>
      <c r="N22" s="43">
        <f t="shared" si="2"/>
        <v>794962.778726605</v>
      </c>
      <c r="O22" s="3"/>
      <c r="P22" s="61">
        <f>[2]SWDemand!C28</f>
        <v>2506.1718499999988</v>
      </c>
      <c r="Q22" s="61">
        <f>[2]SWDemand!F28</f>
        <v>589.78625999999895</v>
      </c>
      <c r="R22" s="156">
        <f>'[2]M&amp;I COHYST Summary'!C22</f>
        <v>3511.4100000000003</v>
      </c>
      <c r="S22" s="43">
        <f>MAX([2]GWCU!F26*0.7+[2]GWCU!G26*0.7,E22)</f>
        <v>59752.972492499975</v>
      </c>
      <c r="T22" s="43">
        <f>IF('[3]DS Demand'!D21&gt;0,'[3]DS Demand'!D21,0)</f>
        <v>127649.27199873322</v>
      </c>
      <c r="U22" s="43">
        <f>IF(273*3465&gt;('Lewellen_NonIrrigation Season'!C22+'Lewellen_NonIrrigation Season'!B22),('Lewellen_NonIrrigation Season'!C22+'Lewellen_NonIrrigation Season'!B22),273*3465)</f>
        <v>687423.37432203861</v>
      </c>
      <c r="V22" s="43">
        <f>MIN(273*3762-'SPlatte_NonIrrigation Season'!P22,U22)</f>
        <v>687423.37432203861</v>
      </c>
      <c r="W22" s="62">
        <f>'[2]Net SW Loss'!C27+'[2]Net SW Loss'!D27</f>
        <v>11806.32000006103</v>
      </c>
      <c r="X22" s="61">
        <f t="shared" si="3"/>
        <v>49073.703357624661</v>
      </c>
      <c r="Y22" s="62">
        <f t="shared" si="7"/>
        <v>687423.37432203861</v>
      </c>
      <c r="Z22" s="62">
        <f t="shared" si="8"/>
        <v>687423.37432203861</v>
      </c>
      <c r="AA22" s="140"/>
      <c r="AB22" s="62">
        <f t="shared" si="4"/>
        <v>766408.10940819001</v>
      </c>
      <c r="AC22" s="62">
        <f t="shared" si="5"/>
        <v>766408.10940819001</v>
      </c>
      <c r="AD22" s="62">
        <f t="shared" si="9"/>
        <v>814663.73828222428</v>
      </c>
      <c r="AE22" s="62">
        <f t="shared" si="10"/>
        <v>814663.73828222428</v>
      </c>
      <c r="AF22" s="138"/>
      <c r="AG22" s="62">
        <f t="shared" si="11"/>
        <v>28554.669318414992</v>
      </c>
      <c r="AH22" s="62">
        <f t="shared" si="12"/>
        <v>28554.669318414992</v>
      </c>
      <c r="AI22" s="62">
        <f t="shared" si="13"/>
        <v>-19700.95955561928</v>
      </c>
      <c r="AJ22" s="62">
        <f t="shared" si="14"/>
        <v>-19700.95955561928</v>
      </c>
    </row>
    <row r="23" spans="1:36" x14ac:dyDescent="0.25">
      <c r="A23" s="38">
        <v>2003</v>
      </c>
      <c r="B23" s="146">
        <f>'[1]Capped Flow'!C22</f>
        <v>8412.4259999999977</v>
      </c>
      <c r="C23" s="146">
        <f>'[1]Capped Flow'!D22</f>
        <v>192380.76</v>
      </c>
      <c r="D23" s="146">
        <f t="shared" si="6"/>
        <v>183968.334</v>
      </c>
      <c r="E23" s="146">
        <f>'[2]GW Depletions'!D30+'[2]GW Depletions'!C30</f>
        <v>15243.055062568596</v>
      </c>
      <c r="F23" s="146">
        <f>IF('[2]Reservoir Evap'!C26&gt;0, '[2]Reservoir Evap'!C26, 0)</f>
        <v>31639.599515970825</v>
      </c>
      <c r="G23" s="146">
        <f>[2]SWCU!C25</f>
        <v>1065.0518320075778</v>
      </c>
      <c r="H23" s="146">
        <f>[2]SWCU!D25</f>
        <v>293.4921599983889</v>
      </c>
      <c r="I23"/>
      <c r="J23" s="78">
        <f t="shared" si="0"/>
        <v>232209.53257054539</v>
      </c>
      <c r="K23" s="155">
        <f>'[3]Req Inflow'!B22</f>
        <v>408655.85350272967</v>
      </c>
      <c r="L23" s="155">
        <f>'[3]Req Inflow'!C22</f>
        <v>408655.85350272967</v>
      </c>
      <c r="M23" s="43">
        <f t="shared" si="1"/>
        <v>640865.386073275</v>
      </c>
      <c r="N23" s="43">
        <f t="shared" si="2"/>
        <v>640865.386073275</v>
      </c>
      <c r="O23" s="3"/>
      <c r="P23" s="61">
        <f>[2]SWDemand!C29</f>
        <v>1732.8223399999988</v>
      </c>
      <c r="Q23" s="61">
        <f>[2]SWDemand!F29</f>
        <v>451.64833999999883</v>
      </c>
      <c r="R23" s="156">
        <f>'[2]M&amp;I COHYST Summary'!C23</f>
        <v>3482.6200000000003</v>
      </c>
      <c r="S23" s="43">
        <f>MAX([2]GWCU!F27*0.7+[2]GWCU!G27*0.7,E23)</f>
        <v>57561.832469166722</v>
      </c>
      <c r="T23" s="43">
        <f>IF('[3]DS Demand'!D22&gt;0,'[3]DS Demand'!D22,0)</f>
        <v>135602.25462080038</v>
      </c>
      <c r="U23" s="43">
        <f>IF(273*3465&gt;('Lewellen_NonIrrigation Season'!C23+'Lewellen_NonIrrigation Season'!B23),('Lewellen_NonIrrigation Season'!C23+'Lewellen_NonIrrigation Season'!B23),273*3465)</f>
        <v>536774.10411944462</v>
      </c>
      <c r="V23" s="43">
        <f>MIN(273*3762-'SPlatte_NonIrrigation Season'!P23,U23)</f>
        <v>536774.10411944462</v>
      </c>
      <c r="W23" s="62">
        <f>'[2]Net SW Loss'!C28+'[2]Net SW Loss'!D28</f>
        <v>11688.810000061032</v>
      </c>
      <c r="X23" s="61">
        <f t="shared" si="3"/>
        <v>31639.599515970825</v>
      </c>
      <c r="Y23" s="62">
        <f t="shared" si="7"/>
        <v>536774.10411944462</v>
      </c>
      <c r="Z23" s="62">
        <f t="shared" si="8"/>
        <v>536774.10411944462</v>
      </c>
      <c r="AA23" s="140"/>
      <c r="AB23" s="62">
        <f t="shared" si="4"/>
        <v>601012.65937804501</v>
      </c>
      <c r="AC23" s="62">
        <f t="shared" si="5"/>
        <v>601012.65937804501</v>
      </c>
      <c r="AD23" s="62">
        <f t="shared" si="9"/>
        <v>643331.4367846431</v>
      </c>
      <c r="AE23" s="62">
        <f t="shared" si="10"/>
        <v>643331.4367846431</v>
      </c>
      <c r="AF23" s="138"/>
      <c r="AG23" s="62">
        <f t="shared" si="11"/>
        <v>39852.726695229998</v>
      </c>
      <c r="AH23" s="62">
        <f t="shared" si="12"/>
        <v>39852.726695229998</v>
      </c>
      <c r="AI23" s="62">
        <f t="shared" si="13"/>
        <v>-2466.0507113680942</v>
      </c>
      <c r="AJ23" s="62">
        <f t="shared" si="14"/>
        <v>-2466.0507113680942</v>
      </c>
    </row>
    <row r="24" spans="1:36" x14ac:dyDescent="0.25">
      <c r="A24" s="38">
        <v>2004</v>
      </c>
      <c r="B24" s="146">
        <f>'[1]Capped Flow'!C23</f>
        <v>7099.6859999999997</v>
      </c>
      <c r="C24" s="146">
        <f>'[1]Capped Flow'!D23</f>
        <v>169317.72000000003</v>
      </c>
      <c r="D24" s="146">
        <f t="shared" si="6"/>
        <v>162218.03400000004</v>
      </c>
      <c r="E24" s="146">
        <f>'[2]GW Depletions'!D31+'[2]GW Depletions'!C31</f>
        <v>18911.460880406776</v>
      </c>
      <c r="F24" s="146">
        <f>IF('[2]Reservoir Evap'!C27&gt;0, '[2]Reservoir Evap'!C27, 0)</f>
        <v>39692.753134635284</v>
      </c>
      <c r="G24" s="146">
        <f>[2]SWCU!C26</f>
        <v>718.31587751289032</v>
      </c>
      <c r="H24" s="146">
        <f>[2]SWCU!D26</f>
        <v>233.55690800479022</v>
      </c>
      <c r="I24"/>
      <c r="J24" s="78">
        <f t="shared" si="0"/>
        <v>221774.12080055979</v>
      </c>
      <c r="K24" s="155">
        <f>'[3]Req Inflow'!B23</f>
        <v>392994.79973970959</v>
      </c>
      <c r="L24" s="155">
        <f>'[3]Req Inflow'!C23</f>
        <v>392994.79973970959</v>
      </c>
      <c r="M24" s="43">
        <f t="shared" si="1"/>
        <v>614768.92054026935</v>
      </c>
      <c r="N24" s="43">
        <f t="shared" si="2"/>
        <v>614768.92054026935</v>
      </c>
      <c r="O24" s="3"/>
      <c r="P24" s="61">
        <f>[2]SWDemand!C30</f>
        <v>1287.0907699999989</v>
      </c>
      <c r="Q24" s="61">
        <f>[2]SWDemand!F30</f>
        <v>359.47844999999961</v>
      </c>
      <c r="R24" s="156">
        <f>'[2]M&amp;I COHYST Summary'!C24</f>
        <v>3355.2</v>
      </c>
      <c r="S24" s="43">
        <f>MAX([2]GWCU!F28*0.7+[2]GWCU!G28*0.7,E24)</f>
        <v>45796.826833333333</v>
      </c>
      <c r="T24" s="43">
        <f>IF('[3]DS Demand'!D23&gt;0,'[3]DS Demand'!D23,0)</f>
        <v>132954.53745729721</v>
      </c>
      <c r="U24" s="43">
        <f>IF(273*3465&gt;('Lewellen_NonIrrigation Season'!C24+'Lewellen_NonIrrigation Season'!B24),('Lewellen_NonIrrigation Season'!C24+'Lewellen_NonIrrigation Season'!B24),273*3465)</f>
        <v>505761.88083972211</v>
      </c>
      <c r="V24" s="43">
        <f>MIN(273*3762-'SPlatte_NonIrrigation Season'!P24,U24)</f>
        <v>505761.88083972211</v>
      </c>
      <c r="W24" s="62">
        <f>'[2]Net SW Loss'!C29+'[2]Net SW Loss'!D29</f>
        <v>11940.570000046011</v>
      </c>
      <c r="X24" s="61">
        <f t="shared" si="3"/>
        <v>39692.753134635284</v>
      </c>
      <c r="Y24" s="62">
        <f t="shared" si="7"/>
        <v>505761.88083972211</v>
      </c>
      <c r="Z24" s="62">
        <f t="shared" si="8"/>
        <v>505761.88083972211</v>
      </c>
      <c r="AA24" s="140"/>
      <c r="AB24" s="62">
        <f t="shared" si="4"/>
        <v>581308.43407481024</v>
      </c>
      <c r="AC24" s="62">
        <f t="shared" si="5"/>
        <v>581308.43407481024</v>
      </c>
      <c r="AD24" s="62">
        <f t="shared" si="9"/>
        <v>608193.8000277367</v>
      </c>
      <c r="AE24" s="62">
        <f t="shared" si="10"/>
        <v>608193.8000277367</v>
      </c>
      <c r="AF24" s="138"/>
      <c r="AG24" s="62">
        <f t="shared" si="11"/>
        <v>33460.486465459107</v>
      </c>
      <c r="AH24" s="62">
        <f t="shared" si="12"/>
        <v>33460.486465459107</v>
      </c>
      <c r="AI24" s="62">
        <f t="shared" si="13"/>
        <v>6575.1205125326524</v>
      </c>
      <c r="AJ24" s="62">
        <f t="shared" si="14"/>
        <v>6575.1205125326524</v>
      </c>
    </row>
    <row r="25" spans="1:36" x14ac:dyDescent="0.25">
      <c r="A25" s="38">
        <v>2005</v>
      </c>
      <c r="B25" s="146">
        <f>'[1]Capped Flow'!C24</f>
        <v>6326.4959999999992</v>
      </c>
      <c r="C25" s="146">
        <f>'[1]Capped Flow'!D24</f>
        <v>179534.52</v>
      </c>
      <c r="D25" s="146">
        <f t="shared" si="6"/>
        <v>173208.02399999998</v>
      </c>
      <c r="E25" s="146">
        <f>'[2]GW Depletions'!D32+'[2]GW Depletions'!C32</f>
        <v>18469.97956406141</v>
      </c>
      <c r="F25" s="146">
        <f>IF('[2]Reservoir Evap'!C28&gt;0, '[2]Reservoir Evap'!C28, 0)</f>
        <v>25458.93719746529</v>
      </c>
      <c r="G25" s="146">
        <f>[2]SWCU!C27</f>
        <v>963.93439350113249</v>
      </c>
      <c r="H25" s="146">
        <f>[2]SWCU!D27</f>
        <v>239.9687744936852</v>
      </c>
      <c r="I25"/>
      <c r="J25" s="78">
        <f t="shared" si="0"/>
        <v>218340.84392952154</v>
      </c>
      <c r="K25" s="155">
        <f>'[3]Req Inflow'!B24</f>
        <v>410295.02987484256</v>
      </c>
      <c r="L25" s="155">
        <f>'[3]Req Inflow'!C24</f>
        <v>410295.02987484256</v>
      </c>
      <c r="M25" s="43">
        <f t="shared" si="1"/>
        <v>628635.87380436412</v>
      </c>
      <c r="N25" s="43">
        <f t="shared" si="2"/>
        <v>628635.87380436412</v>
      </c>
      <c r="O25" s="3"/>
      <c r="P25" s="61">
        <f>[2]SWDemand!C31</f>
        <v>1609.9550600000002</v>
      </c>
      <c r="Q25" s="61">
        <f>[2]SWDemand!F31</f>
        <v>369.40315999999893</v>
      </c>
      <c r="R25" s="156">
        <f>'[2]M&amp;I COHYST Summary'!C25</f>
        <v>3296.1099999999997</v>
      </c>
      <c r="S25" s="43">
        <f>MAX([2]GWCU!F29*0.7+[2]GWCU!G29*0.7,E25)</f>
        <v>51210.54257666663</v>
      </c>
      <c r="T25" s="43">
        <f>IF('[3]DS Demand'!D24&gt;0,'[3]DS Demand'!D24,0)</f>
        <v>103101.2611204319</v>
      </c>
      <c r="U25" s="43">
        <f>IF(273*3465&gt;('Lewellen_NonIrrigation Season'!C25+'Lewellen_NonIrrigation Season'!B25),('Lewellen_NonIrrigation Season'!C25+'Lewellen_NonIrrigation Season'!B25),273*3465)</f>
        <v>533292.8282078763</v>
      </c>
      <c r="V25" s="43">
        <f>MIN(273*3762-'SPlatte_NonIrrigation Season'!P25,U25)</f>
        <v>533292.8282078763</v>
      </c>
      <c r="W25" s="62">
        <f>'[2]Net SW Loss'!C30+'[2]Net SW Loss'!D30</f>
        <v>12207.430000046008</v>
      </c>
      <c r="X25" s="61">
        <f t="shared" si="3"/>
        <v>25458.93719746529</v>
      </c>
      <c r="Y25" s="62">
        <f t="shared" si="7"/>
        <v>533292.8282078763</v>
      </c>
      <c r="Z25" s="62">
        <f t="shared" si="8"/>
        <v>533292.8282078763</v>
      </c>
      <c r="AA25" s="140"/>
      <c r="AB25" s="62">
        <f t="shared" si="4"/>
        <v>594704.64318944898</v>
      </c>
      <c r="AC25" s="62">
        <f t="shared" si="5"/>
        <v>594704.64318944898</v>
      </c>
      <c r="AD25" s="62">
        <f t="shared" si="9"/>
        <v>627445.20620205428</v>
      </c>
      <c r="AE25" s="62">
        <f t="shared" si="10"/>
        <v>627445.20620205428</v>
      </c>
      <c r="AF25" s="138"/>
      <c r="AG25" s="62">
        <f t="shared" si="11"/>
        <v>33931.230614915141</v>
      </c>
      <c r="AH25" s="62">
        <f t="shared" si="12"/>
        <v>33931.230614915141</v>
      </c>
      <c r="AI25" s="62">
        <f t="shared" si="13"/>
        <v>1190.6676023098407</v>
      </c>
      <c r="AJ25" s="62">
        <f t="shared" si="14"/>
        <v>1190.6676023098407</v>
      </c>
    </row>
    <row r="26" spans="1:36" x14ac:dyDescent="0.25">
      <c r="A26" s="38">
        <v>2006</v>
      </c>
      <c r="B26" s="146">
        <f>'[1]Capped Flow'!C25</f>
        <v>3437.8739999999989</v>
      </c>
      <c r="C26" s="146">
        <f>'[1]Capped Flow'!D25</f>
        <v>169151.40000000002</v>
      </c>
      <c r="D26" s="146">
        <f t="shared" si="6"/>
        <v>165713.52600000001</v>
      </c>
      <c r="E26" s="146">
        <f>'[2]GW Depletions'!D33+'[2]GW Depletions'!C33</f>
        <v>17973.795847348141</v>
      </c>
      <c r="F26" s="146">
        <f>IF('[2]Reservoir Evap'!C29&gt;0, '[2]Reservoir Evap'!C29, 0)</f>
        <v>36096.286924845139</v>
      </c>
      <c r="G26" s="146">
        <f>[2]SWCU!C28</f>
        <v>748.85749249999969</v>
      </c>
      <c r="H26" s="146">
        <f>[2]SWCU!D28</f>
        <v>252.06740000000002</v>
      </c>
      <c r="I26"/>
      <c r="J26" s="78">
        <f t="shared" si="0"/>
        <v>220784.5336646933</v>
      </c>
      <c r="K26" s="155">
        <f>'[3]Req Inflow'!B25</f>
        <v>427765.97899216396</v>
      </c>
      <c r="L26" s="155">
        <f>'[3]Req Inflow'!C25</f>
        <v>427765.97899216396</v>
      </c>
      <c r="M26" s="43">
        <f t="shared" si="1"/>
        <v>648550.51265685726</v>
      </c>
      <c r="N26" s="43">
        <f t="shared" si="2"/>
        <v>648550.51265685726</v>
      </c>
      <c r="O26" s="3"/>
      <c r="P26" s="61">
        <f>[2]SWDemand!C32</f>
        <v>1152.0884499999993</v>
      </c>
      <c r="Q26" s="61">
        <f>[2]SWDemand!F32</f>
        <v>369.72274999999991</v>
      </c>
      <c r="R26" s="156">
        <f>'[2]M&amp;I COHYST Summary'!C26</f>
        <v>3296.1099999999997</v>
      </c>
      <c r="S26" s="43">
        <f>MAX([2]GWCU!F30*0.7+[2]GWCU!G30*0.7,E26)</f>
        <v>49899.502134999995</v>
      </c>
      <c r="T26" s="43">
        <f>IF('[3]DS Demand'!D25&gt;0,'[3]DS Demand'!D25,0)</f>
        <v>106258.60159128171</v>
      </c>
      <c r="U26" s="43">
        <f>IF(273*3465&gt;('Lewellen_NonIrrigation Season'!C26+'Lewellen_NonIrrigation Season'!B26),('Lewellen_NonIrrigation Season'!C26+'Lewellen_NonIrrigation Season'!B26),273*3465)</f>
        <v>541772.61729281454</v>
      </c>
      <c r="V26" s="43">
        <f>MIN(273*3762-'SPlatte_NonIrrigation Season'!P26,U26)</f>
        <v>541772.61729281454</v>
      </c>
      <c r="W26" s="62">
        <f>'[2]Net SW Loss'!C31+'[2]Net SW Loss'!D31</f>
        <v>11498.87000006103</v>
      </c>
      <c r="X26" s="61">
        <f t="shared" si="3"/>
        <v>36096.286924845139</v>
      </c>
      <c r="Y26" s="62">
        <f t="shared" si="7"/>
        <v>541772.61729281454</v>
      </c>
      <c r="Z26" s="62">
        <f t="shared" si="8"/>
        <v>541772.61729281454</v>
      </c>
      <c r="AA26" s="140"/>
      <c r="AB26" s="62">
        <f t="shared" si="4"/>
        <v>612159.49126506888</v>
      </c>
      <c r="AC26" s="62">
        <f t="shared" si="5"/>
        <v>612159.49126506888</v>
      </c>
      <c r="AD26" s="62">
        <f t="shared" si="9"/>
        <v>644085.19755272067</v>
      </c>
      <c r="AE26" s="62">
        <f t="shared" si="10"/>
        <v>644085.19755272067</v>
      </c>
      <c r="AF26" s="138"/>
      <c r="AG26" s="62">
        <f t="shared" si="11"/>
        <v>36391.021391788381</v>
      </c>
      <c r="AH26" s="62">
        <f t="shared" si="12"/>
        <v>36391.021391788381</v>
      </c>
      <c r="AI26" s="62">
        <f t="shared" si="13"/>
        <v>4465.3151041365927</v>
      </c>
      <c r="AJ26" s="62">
        <f t="shared" si="14"/>
        <v>4465.3151041365927</v>
      </c>
    </row>
    <row r="27" spans="1:36" x14ac:dyDescent="0.25">
      <c r="A27" s="38">
        <v>2007</v>
      </c>
      <c r="B27" s="146">
        <f>'[1]Capped Flow'!C26</f>
        <v>3234.9240000000004</v>
      </c>
      <c r="C27" s="146">
        <f>'[1]Capped Flow'!D26</f>
        <v>223250.93999999994</v>
      </c>
      <c r="D27" s="146">
        <f t="shared" si="6"/>
        <v>220016.01599999995</v>
      </c>
      <c r="E27" s="146">
        <f>'[2]GW Depletions'!D34+'[2]GW Depletions'!C34</f>
        <v>17941.76110572739</v>
      </c>
      <c r="F27" s="146">
        <f>IF('[2]Reservoir Evap'!C30&gt;0, '[2]Reservoir Evap'!C30, 0)</f>
        <v>21468.649525453569</v>
      </c>
      <c r="G27" s="146">
        <f>[2]SWCU!C29</f>
        <v>480.92961799999983</v>
      </c>
      <c r="H27" s="146">
        <f>[2]SWCU!D29</f>
        <v>201.20100000000002</v>
      </c>
      <c r="I27"/>
      <c r="J27" s="78">
        <f t="shared" si="0"/>
        <v>260108.55724918091</v>
      </c>
      <c r="K27" s="155">
        <f>'[3]Req Inflow'!B26</f>
        <v>371247.18421594071</v>
      </c>
      <c r="L27" s="155">
        <f>'[3]Req Inflow'!C26</f>
        <v>371247.18421594071</v>
      </c>
      <c r="M27" s="43">
        <f t="shared" si="1"/>
        <v>631355.74146512162</v>
      </c>
      <c r="N27" s="43">
        <f t="shared" si="2"/>
        <v>631355.74146512162</v>
      </c>
      <c r="O27" s="3"/>
      <c r="P27" s="61">
        <f>[2]SWDemand!C33</f>
        <v>739.89171999999962</v>
      </c>
      <c r="Q27" s="61">
        <f>[2]SWDemand!F33</f>
        <v>233.1901499999999</v>
      </c>
      <c r="R27" s="156">
        <f>'[2]M&amp;I COHYST Summary'!C27</f>
        <v>3296.1099999999997</v>
      </c>
      <c r="S27" s="43">
        <f>MAX([2]GWCU!F31*0.7+[2]GWCU!G31*0.7,E27)</f>
        <v>37407.426647499975</v>
      </c>
      <c r="T27" s="43">
        <f>IF('[3]DS Demand'!D26&gt;0,'[3]DS Demand'!D26,0)</f>
        <v>117907.46969924316</v>
      </c>
      <c r="U27" s="43">
        <f>IF(273*3465&gt;('Lewellen_NonIrrigation Season'!C27+'Lewellen_NonIrrigation Season'!B27),('Lewellen_NonIrrigation Season'!C27+'Lewellen_NonIrrigation Season'!B27),273*3465)</f>
        <v>518843.09138567734</v>
      </c>
      <c r="V27" s="43">
        <f>MIN(273*3762-'SPlatte_NonIrrigation Season'!P27,U27)</f>
        <v>518843.09138567734</v>
      </c>
      <c r="W27" s="62">
        <f>'[2]Net SW Loss'!C32+'[2]Net SW Loss'!D32</f>
        <v>11381.360000061031</v>
      </c>
      <c r="X27" s="61">
        <f t="shared" si="3"/>
        <v>21468.649525453569</v>
      </c>
      <c r="Y27" s="62">
        <f t="shared" si="7"/>
        <v>518843.09138567734</v>
      </c>
      <c r="Z27" s="62">
        <f t="shared" si="8"/>
        <v>518843.09138567734</v>
      </c>
      <c r="AA27" s="140"/>
      <c r="AB27" s="62">
        <f t="shared" si="4"/>
        <v>573904.0538869194</v>
      </c>
      <c r="AC27" s="62">
        <f t="shared" si="5"/>
        <v>573904.0538869194</v>
      </c>
      <c r="AD27" s="62">
        <f t="shared" si="9"/>
        <v>593369.7194286919</v>
      </c>
      <c r="AE27" s="62">
        <f t="shared" si="10"/>
        <v>593369.7194286919</v>
      </c>
      <c r="AF27" s="138"/>
      <c r="AG27" s="62">
        <f t="shared" si="11"/>
        <v>57451.687578202225</v>
      </c>
      <c r="AH27" s="62">
        <f t="shared" si="12"/>
        <v>57451.687578202225</v>
      </c>
      <c r="AI27" s="62">
        <f t="shared" si="13"/>
        <v>37986.022036429727</v>
      </c>
      <c r="AJ27" s="62">
        <f t="shared" si="14"/>
        <v>37986.022036429727</v>
      </c>
    </row>
    <row r="28" spans="1:36" x14ac:dyDescent="0.25">
      <c r="A28" s="38">
        <v>2008</v>
      </c>
      <c r="B28" s="146">
        <f>'[1]Capped Flow'!C27</f>
        <v>7872.48</v>
      </c>
      <c r="C28" s="146">
        <f>'[1]Capped Flow'!D27</f>
        <v>187785.18</v>
      </c>
      <c r="D28" s="146">
        <f t="shared" si="6"/>
        <v>179912.69999999998</v>
      </c>
      <c r="E28" s="146">
        <f>'[2]GW Depletions'!D35+'[2]GW Depletions'!C35</f>
        <v>16702.468017459069</v>
      </c>
      <c r="F28" s="146">
        <f>IF('[2]Reservoir Evap'!C31&gt;0, '[2]Reservoir Evap'!C31, 0)</f>
        <v>28718.180619265066</v>
      </c>
      <c r="G28" s="146">
        <f>[2]SWCU!C30</f>
        <v>743.44204999999999</v>
      </c>
      <c r="H28" s="146">
        <f>[2]SWCU!D30</f>
        <v>188.78925000000001</v>
      </c>
      <c r="I28"/>
      <c r="J28" s="78">
        <f t="shared" si="0"/>
        <v>226265.57993672413</v>
      </c>
      <c r="K28" s="155">
        <f>'[3]Req Inflow'!B27</f>
        <v>445143.31738881662</v>
      </c>
      <c r="L28" s="155">
        <f>'[3]Req Inflow'!C27</f>
        <v>445143.31738881662</v>
      </c>
      <c r="M28" s="43">
        <f t="shared" si="1"/>
        <v>671408.89732554078</v>
      </c>
      <c r="N28" s="43">
        <f t="shared" si="2"/>
        <v>671408.89732554078</v>
      </c>
      <c r="O28" s="3"/>
      <c r="P28" s="61">
        <f>[2]SWDemand!C34</f>
        <v>1597.3175199999969</v>
      </c>
      <c r="Q28" s="61">
        <f>[2]SWDemand!F34</f>
        <v>511.55705999999918</v>
      </c>
      <c r="R28" s="156">
        <f>'[2]M&amp;I COHYST Summary'!C28</f>
        <v>3296.1099999999997</v>
      </c>
      <c r="S28" s="43">
        <f>MAX([2]GWCU!F32*0.7+[2]GWCU!G32*0.7,E28)</f>
        <v>66989.183549166701</v>
      </c>
      <c r="T28" s="43">
        <f>IF('[3]DS Demand'!D27&gt;0,'[3]DS Demand'!D27,0)</f>
        <v>96132.666083295713</v>
      </c>
      <c r="U28" s="43">
        <f>IF(273*3465&gt;('Lewellen_NonIrrigation Season'!C28+'Lewellen_NonIrrigation Season'!B28),('Lewellen_NonIrrigation Season'!C28+'Lewellen_NonIrrigation Season'!B28),273*3465)</f>
        <v>572587.1621592904</v>
      </c>
      <c r="V28" s="43">
        <f>MIN(273*3762-'SPlatte_NonIrrigation Season'!P28,U28)</f>
        <v>572587.1621592904</v>
      </c>
      <c r="W28" s="62">
        <f>'[2]Net SW Loss'!C33+'[2]Net SW Loss'!D33</f>
        <v>12236.990000046009</v>
      </c>
      <c r="X28" s="61">
        <f t="shared" si="3"/>
        <v>28718.180619265066</v>
      </c>
      <c r="Y28" s="62">
        <f t="shared" si="7"/>
        <v>572587.1621592904</v>
      </c>
      <c r="Z28" s="62">
        <f t="shared" si="8"/>
        <v>572587.1621592904</v>
      </c>
      <c r="AA28" s="140"/>
      <c r="AB28" s="62">
        <f t="shared" si="4"/>
        <v>635649.78537606052</v>
      </c>
      <c r="AC28" s="62">
        <f t="shared" si="5"/>
        <v>635649.78537606052</v>
      </c>
      <c r="AD28" s="62">
        <f t="shared" si="9"/>
        <v>685936.50090776815</v>
      </c>
      <c r="AE28" s="62">
        <f t="shared" si="10"/>
        <v>685936.50090776815</v>
      </c>
      <c r="AF28" s="138"/>
      <c r="AG28" s="62">
        <f t="shared" si="11"/>
        <v>35759.111949480255</v>
      </c>
      <c r="AH28" s="62">
        <f t="shared" si="12"/>
        <v>35759.111949480255</v>
      </c>
      <c r="AI28" s="62">
        <f t="shared" si="13"/>
        <v>-14527.60358222737</v>
      </c>
      <c r="AJ28" s="62">
        <f t="shared" si="14"/>
        <v>-14527.60358222737</v>
      </c>
    </row>
    <row r="29" spans="1:36" x14ac:dyDescent="0.25">
      <c r="A29" s="38">
        <v>2009</v>
      </c>
      <c r="B29" s="146">
        <f>'[1]Capped Flow'!C28</f>
        <v>30493.583999999999</v>
      </c>
      <c r="C29" s="146">
        <f>'[1]Capped Flow'!D28</f>
        <v>240449.21999999997</v>
      </c>
      <c r="D29" s="146">
        <f t="shared" si="6"/>
        <v>209955.63599999997</v>
      </c>
      <c r="E29" s="146">
        <f>'[2]GW Depletions'!D36+'[2]GW Depletions'!C36</f>
        <v>15792.61677388765</v>
      </c>
      <c r="F29" s="146">
        <f>IF('[2]Reservoir Evap'!C32&gt;0, '[2]Reservoir Evap'!C32, 0)</f>
        <v>24108.496878720573</v>
      </c>
      <c r="G29" s="146">
        <f>[2]SWCU!C31</f>
        <v>814.68985000000009</v>
      </c>
      <c r="H29" s="146">
        <f>[2]SWCU!D31</f>
        <v>199.1977</v>
      </c>
      <c r="I29"/>
      <c r="J29" s="78">
        <f t="shared" si="0"/>
        <v>250870.63720260817</v>
      </c>
      <c r="K29" s="155">
        <f>'[3]Req Inflow'!B28</f>
        <v>471465.00926731463</v>
      </c>
      <c r="L29" s="155">
        <f>'[3]Req Inflow'!C28</f>
        <v>471465.00926731463</v>
      </c>
      <c r="M29" s="43">
        <f t="shared" si="1"/>
        <v>722335.64646992274</v>
      </c>
      <c r="N29" s="43">
        <f t="shared" si="2"/>
        <v>722335.64646992274</v>
      </c>
      <c r="O29" s="3"/>
      <c r="P29" s="61">
        <f>[2]SWDemand!C35</f>
        <v>1595.8884099999996</v>
      </c>
      <c r="Q29" s="61">
        <f>[2]SWDemand!F35</f>
        <v>505.52370999999948</v>
      </c>
      <c r="R29" s="156">
        <f>'[2]M&amp;I COHYST Summary'!C29</f>
        <v>3296.1099999999997</v>
      </c>
      <c r="S29" s="43">
        <f>MAX([2]GWCU!F33*0.7+[2]GWCU!G33*0.7,E29)</f>
        <v>61268.625413094371</v>
      </c>
      <c r="T29" s="43">
        <f>IF('[3]DS Demand'!D28&gt;0,'[3]DS Demand'!D28,0)</f>
        <v>117699.75964324933</v>
      </c>
      <c r="U29" s="43">
        <f>IF(273*3465&gt;('Lewellen_NonIrrigation Season'!C29+'Lewellen_NonIrrigation Season'!B29),('Lewellen_NonIrrigation Season'!C29+'Lewellen_NonIrrigation Season'!B29),273*3465)</f>
        <v>617611.95940895332</v>
      </c>
      <c r="V29" s="43">
        <f>MIN(273*3762-'SPlatte_NonIrrigation Season'!P29,U29)</f>
        <v>617611.95940895332</v>
      </c>
      <c r="W29" s="62">
        <f>'[2]Net SW Loss'!C34+'[2]Net SW Loss'!D34</f>
        <v>12052.520000046008</v>
      </c>
      <c r="X29" s="61">
        <f t="shared" si="3"/>
        <v>24108.496878720573</v>
      </c>
      <c r="Y29" s="62">
        <f t="shared" si="7"/>
        <v>617611.95940895332</v>
      </c>
      <c r="Z29" s="62">
        <f t="shared" si="8"/>
        <v>617611.95940895332</v>
      </c>
      <c r="AA29" s="140"/>
      <c r="AB29" s="62">
        <f t="shared" si="4"/>
        <v>674963.11518160754</v>
      </c>
      <c r="AC29" s="62">
        <f t="shared" si="5"/>
        <v>674963.11518160754</v>
      </c>
      <c r="AD29" s="62">
        <f t="shared" si="9"/>
        <v>720439.1238208143</v>
      </c>
      <c r="AE29" s="62">
        <f t="shared" si="10"/>
        <v>720439.1238208143</v>
      </c>
      <c r="AF29" s="138"/>
      <c r="AG29" s="62">
        <f t="shared" si="11"/>
        <v>47372.531288315193</v>
      </c>
      <c r="AH29" s="62">
        <f t="shared" si="12"/>
        <v>47372.531288315193</v>
      </c>
      <c r="AI29" s="62">
        <f t="shared" si="13"/>
        <v>1896.5226491084322</v>
      </c>
      <c r="AJ29" s="62">
        <f t="shared" si="14"/>
        <v>1896.5226491084322</v>
      </c>
    </row>
    <row r="30" spans="1:36" x14ac:dyDescent="0.25">
      <c r="A30" s="38">
        <v>2010</v>
      </c>
      <c r="B30" s="146">
        <f>'[1]Capped Flow'!C29</f>
        <v>43798.609800000006</v>
      </c>
      <c r="C30" s="146">
        <f>'[1]Capped Flow'!D29</f>
        <v>264729.96000000008</v>
      </c>
      <c r="D30" s="146">
        <f t="shared" si="6"/>
        <v>220931.35020000007</v>
      </c>
      <c r="E30" s="146">
        <f>'[2]GW Depletions'!D37+'[2]GW Depletions'!C37</f>
        <v>15052.160737960194</v>
      </c>
      <c r="F30" s="146">
        <f>IF('[2]Reservoir Evap'!C33&gt;0, '[2]Reservoir Evap'!C33, 0)</f>
        <v>21727.221036684128</v>
      </c>
      <c r="G30" s="146">
        <f>[2]SWCU!C32</f>
        <v>826.14350000000002</v>
      </c>
      <c r="H30" s="146">
        <f>[2]SWCU!D32</f>
        <v>195.32175000000001</v>
      </c>
      <c r="I30"/>
      <c r="J30" s="78">
        <f t="shared" si="0"/>
        <v>258732.19722464439</v>
      </c>
      <c r="K30" s="155">
        <f>'[3]Req Inflow'!B29</f>
        <v>533958.43759086379</v>
      </c>
      <c r="L30" s="155">
        <f>'[3]Req Inflow'!C29</f>
        <v>442904.14551213104</v>
      </c>
      <c r="M30" s="43">
        <f t="shared" si="1"/>
        <v>792690.63481550815</v>
      </c>
      <c r="N30" s="43">
        <f t="shared" si="2"/>
        <v>701636.3427367754</v>
      </c>
      <c r="O30" s="3"/>
      <c r="P30" s="61">
        <f>[2]SWDemand!C36</f>
        <v>1835.4857699999993</v>
      </c>
      <c r="Q30" s="61">
        <f>[2]SWDemand!F36</f>
        <v>577.92993999999999</v>
      </c>
      <c r="R30" s="156">
        <f>'[2]M&amp;I COHYST Summary'!C30</f>
        <v>3296.1099999999997</v>
      </c>
      <c r="S30" s="43">
        <f>MAX([2]GWCU!F34*0.7+[2]GWCU!G34*0.7,E30)</f>
        <v>70349.439434349508</v>
      </c>
      <c r="T30" s="43">
        <f>IF('[3]DS Demand'!D29&gt;0,'[3]DS Demand'!D29,0)</f>
        <v>138764.88459971751</v>
      </c>
      <c r="U30" s="43">
        <f>IF(273*3465&gt;('Lewellen_NonIrrigation Season'!C30+'Lewellen_NonIrrigation Season'!B30),('Lewellen_NonIrrigation Season'!C30+'Lewellen_NonIrrigation Season'!B30),273*3465)</f>
        <v>691530.51568620291</v>
      </c>
      <c r="V30" s="43">
        <f>MIN(273*3762-'SPlatte_NonIrrigation Season'!P30,U30)</f>
        <v>567567</v>
      </c>
      <c r="W30" s="62">
        <f>'[2]Net SW Loss'!C35+'[2]Net SW Loss'!D35</f>
        <v>11850.71000006103</v>
      </c>
      <c r="X30" s="61">
        <f t="shared" si="3"/>
        <v>21727.221036684128</v>
      </c>
      <c r="Y30" s="62">
        <f t="shared" si="7"/>
        <v>691530.51568620291</v>
      </c>
      <c r="Z30" s="62">
        <f t="shared" si="8"/>
        <v>567567</v>
      </c>
      <c r="AA30" s="140"/>
      <c r="AB30" s="62">
        <f t="shared" si="4"/>
        <v>745870.1331709082</v>
      </c>
      <c r="AC30" s="62">
        <f t="shared" si="5"/>
        <v>621906.61748470529</v>
      </c>
      <c r="AD30" s="62">
        <f t="shared" si="9"/>
        <v>801167.41186729749</v>
      </c>
      <c r="AE30" s="62">
        <f t="shared" si="10"/>
        <v>677203.89618109458</v>
      </c>
      <c r="AF30" s="138"/>
      <c r="AG30" s="62">
        <f t="shared" si="11"/>
        <v>46820.50164459995</v>
      </c>
      <c r="AH30" s="62">
        <f t="shared" si="12"/>
        <v>79729.725252070115</v>
      </c>
      <c r="AI30" s="62">
        <f t="shared" si="13"/>
        <v>-8476.7770517893368</v>
      </c>
      <c r="AJ30" s="62">
        <f t="shared" si="14"/>
        <v>24432.446555680828</v>
      </c>
    </row>
    <row r="31" spans="1:36" x14ac:dyDescent="0.25">
      <c r="A31" s="38">
        <v>2011</v>
      </c>
      <c r="B31" s="146">
        <f>'[1]Capped Flow'!C30</f>
        <v>500613.69599999982</v>
      </c>
      <c r="C31" s="146">
        <f>'[1]Capped Flow'!D30</f>
        <v>620652.78000000026</v>
      </c>
      <c r="D31" s="146">
        <f t="shared" si="6"/>
        <v>120039.08400000044</v>
      </c>
      <c r="E31" s="146">
        <f>'[2]GW Depletions'!D38+'[2]GW Depletions'!C38</f>
        <v>14618.555699393411</v>
      </c>
      <c r="F31" s="146">
        <f>IF('[2]Reservoir Evap'!C34&gt;0, '[2]Reservoir Evap'!C34, 0)</f>
        <v>19205.359273433198</v>
      </c>
      <c r="G31" s="146">
        <f>[2]SWCU!C33</f>
        <v>849.61695000000009</v>
      </c>
      <c r="H31" s="146">
        <f>[2]SWCU!D33</f>
        <v>196.49760000000003</v>
      </c>
      <c r="I31"/>
      <c r="J31" s="78">
        <f t="shared" si="0"/>
        <v>154909.11352282704</v>
      </c>
      <c r="K31" s="155">
        <f>'[3]Req Inflow'!B30</f>
        <v>890099.49817794689</v>
      </c>
      <c r="L31" s="155">
        <f>'[3]Req Inflow'!C30</f>
        <v>721143.68518896692</v>
      </c>
      <c r="M31" s="43">
        <f t="shared" si="1"/>
        <v>1045008.6117007739</v>
      </c>
      <c r="N31" s="43">
        <f t="shared" si="2"/>
        <v>876052.79871179396</v>
      </c>
      <c r="O31" s="3"/>
      <c r="P31" s="61">
        <f>[2]SWDemand!C37</f>
        <v>1377.2399399999995</v>
      </c>
      <c r="Q31" s="61">
        <f>[2]SWDemand!F37</f>
        <v>448.15160999999989</v>
      </c>
      <c r="R31" s="156">
        <f>'[2]M&amp;I COHYST Summary'!C31</f>
        <v>3296.1099999999997</v>
      </c>
      <c r="S31" s="43">
        <f>MAX([2]GWCU!F35*0.7+[2]GWCU!G35*0.7,E31)</f>
        <v>57903.652414830562</v>
      </c>
      <c r="T31" s="43">
        <f>IF('[3]DS Demand'!D30&gt;0,'[3]DS Demand'!D30,0)</f>
        <v>89700.908673280734</v>
      </c>
      <c r="U31" s="43">
        <f>IF(273*3465&gt;('Lewellen_NonIrrigation Season'!C31+'Lewellen_NonIrrigation Season'!B31),('Lewellen_NonIrrigation Season'!C31+'Lewellen_NonIrrigation Season'!B31),273*3465)</f>
        <v>945945</v>
      </c>
      <c r="V31" s="43">
        <f>MIN(273*3762-'SPlatte_NonIrrigation Season'!P31,U31)</f>
        <v>760216.43211742421</v>
      </c>
      <c r="W31" s="62">
        <f>'[2]Net SW Loss'!C36+'[2]Net SW Loss'!D36</f>
        <v>11934.770000061031</v>
      </c>
      <c r="X31" s="61">
        <f t="shared" si="3"/>
        <v>19205.359273433198</v>
      </c>
      <c r="Y31" s="62">
        <f t="shared" si="7"/>
        <v>945945</v>
      </c>
      <c r="Z31" s="62">
        <f t="shared" si="8"/>
        <v>760216.43211742421</v>
      </c>
      <c r="AA31" s="140"/>
      <c r="AB31" s="62">
        <f t="shared" si="4"/>
        <v>996825.18652288755</v>
      </c>
      <c r="AC31" s="62">
        <f t="shared" si="5"/>
        <v>811096.61864031176</v>
      </c>
      <c r="AD31" s="62">
        <f t="shared" si="9"/>
        <v>1040110.2832383248</v>
      </c>
      <c r="AE31" s="62">
        <f t="shared" si="10"/>
        <v>854381.71535574901</v>
      </c>
      <c r="AF31" s="138"/>
      <c r="AG31" s="62">
        <f t="shared" si="11"/>
        <v>48183.425177886384</v>
      </c>
      <c r="AH31" s="62">
        <f t="shared" si="12"/>
        <v>64956.180071482202</v>
      </c>
      <c r="AI31" s="62">
        <f t="shared" si="13"/>
        <v>4898.3284624491353</v>
      </c>
      <c r="AJ31" s="62">
        <f t="shared" si="14"/>
        <v>21671.083356044954</v>
      </c>
    </row>
    <row r="32" spans="1:36" x14ac:dyDescent="0.25">
      <c r="A32" s="38">
        <v>2012</v>
      </c>
      <c r="B32" s="146">
        <f>'[1]Capped Flow'!C31</f>
        <v>362822.26859999978</v>
      </c>
      <c r="C32" s="146">
        <f>'[1]Capped Flow'!D31</f>
        <v>528281.8199999996</v>
      </c>
      <c r="D32" s="146">
        <f t="shared" si="6"/>
        <v>165459.55139999982</v>
      </c>
      <c r="E32" s="146">
        <f>'[2]GW Depletions'!D39+'[2]GW Depletions'!C39</f>
        <v>14148.461475449472</v>
      </c>
      <c r="F32" s="146">
        <f>IF('[2]Reservoir Evap'!C35&gt;0, '[2]Reservoir Evap'!C35, 0)</f>
        <v>2614.085829181231</v>
      </c>
      <c r="G32" s="146">
        <f>[2]SWCU!C34</f>
        <v>950.81974649999961</v>
      </c>
      <c r="H32" s="146">
        <f>[2]SWCU!D34</f>
        <v>394.56300000000005</v>
      </c>
      <c r="I32"/>
      <c r="J32" s="78">
        <f t="shared" si="0"/>
        <v>183567.4814511305</v>
      </c>
      <c r="K32" s="155">
        <f>'[3]Req Inflow'!B31</f>
        <v>812019.28488380986</v>
      </c>
      <c r="L32" s="155">
        <f>'[3]Req Inflow'!C31</f>
        <v>558418.37034682976</v>
      </c>
      <c r="M32" s="43">
        <f t="shared" si="1"/>
        <v>995586.76633494033</v>
      </c>
      <c r="N32" s="43">
        <f t="shared" si="2"/>
        <v>741985.85179796023</v>
      </c>
      <c r="O32" s="3"/>
      <c r="P32" s="61">
        <f>[2]SWDemand!C38</f>
        <v>1462.7996099999982</v>
      </c>
      <c r="Q32" s="61">
        <f>[2]SWDemand!F38</f>
        <v>471.42472999999973</v>
      </c>
      <c r="R32" s="156">
        <f>'[2]M&amp;I COHYST Summary'!C32</f>
        <v>3296.1099999999997</v>
      </c>
      <c r="S32" s="43">
        <f>MAX([2]GWCU!F36*0.7+[2]GWCU!G36*0.7,E32)</f>
        <v>62165.77254416675</v>
      </c>
      <c r="T32" s="43">
        <f>IF('[3]DS Demand'!D31&gt;0,'[3]DS Demand'!D31,0)</f>
        <v>128201.97995735554</v>
      </c>
      <c r="U32" s="43">
        <f>IF(273*3465&gt;('Lewellen_NonIrrigation Season'!C32+'Lewellen_NonIrrigation Season'!B32),('Lewellen_NonIrrigation Season'!C32+'Lewellen_NonIrrigation Season'!B32),273*3465)</f>
        <v>945945</v>
      </c>
      <c r="V32" s="43">
        <f>MIN(273*3762-'SPlatte_NonIrrigation Season'!P32,U32)</f>
        <v>645573.12968939391</v>
      </c>
      <c r="W32" s="62">
        <f>'[2]Net SW Loss'!C37+'[2]Net SW Loss'!D37</f>
        <v>11756.000000046008</v>
      </c>
      <c r="X32" s="61">
        <f t="shared" si="3"/>
        <v>2614.085829181231</v>
      </c>
      <c r="Y32" s="62">
        <f t="shared" si="7"/>
        <v>945945</v>
      </c>
      <c r="Z32" s="62">
        <f t="shared" si="8"/>
        <v>645573.12968939391</v>
      </c>
      <c r="AA32" s="140"/>
      <c r="AB32" s="62">
        <f t="shared" si="4"/>
        <v>979693.88164467667</v>
      </c>
      <c r="AC32" s="62">
        <f t="shared" si="5"/>
        <v>679322.01133407059</v>
      </c>
      <c r="AD32" s="62">
        <f t="shared" si="9"/>
        <v>1027711.1927133939</v>
      </c>
      <c r="AE32" s="62">
        <f t="shared" si="10"/>
        <v>727339.32240278786</v>
      </c>
      <c r="AF32" s="138"/>
      <c r="AG32" s="62">
        <f t="shared" si="11"/>
        <v>15892.884690263658</v>
      </c>
      <c r="AH32" s="62">
        <f t="shared" si="12"/>
        <v>62663.840463889646</v>
      </c>
      <c r="AI32" s="62">
        <f t="shared" si="13"/>
        <v>-32124.426378453616</v>
      </c>
      <c r="AJ32" s="62">
        <f t="shared" si="14"/>
        <v>14646.529395172372</v>
      </c>
    </row>
    <row r="33" spans="1:36" x14ac:dyDescent="0.25">
      <c r="K33" s="8"/>
      <c r="L33" s="8"/>
      <c r="M33" s="8"/>
      <c r="N33" s="8"/>
      <c r="O33" s="3"/>
      <c r="P33" s="3"/>
      <c r="Q33" s="102"/>
      <c r="R33" s="120"/>
      <c r="S33" s="3"/>
      <c r="T33" s="3"/>
      <c r="U33" s="3"/>
      <c r="V33" s="3"/>
      <c r="W33" s="3"/>
      <c r="X33" s="120"/>
      <c r="Y33" s="3"/>
      <c r="Z33" s="102"/>
      <c r="AA33" s="3"/>
      <c r="AB33" s="3"/>
      <c r="AC33" s="102"/>
      <c r="AD33" s="3"/>
      <c r="AE33" s="102"/>
    </row>
    <row r="34" spans="1:36" x14ac:dyDescent="0.25">
      <c r="K34" s="8"/>
      <c r="L34" s="8"/>
      <c r="M34" s="8"/>
      <c r="N34" s="8"/>
      <c r="O34" s="3"/>
      <c r="P34" s="3"/>
      <c r="Q34" s="102"/>
      <c r="R34" s="120"/>
      <c r="S34" s="3"/>
      <c r="T34" s="3"/>
      <c r="U34" s="3"/>
      <c r="V34" s="3"/>
      <c r="W34" s="3"/>
      <c r="X34" s="120"/>
      <c r="Y34" s="3"/>
      <c r="Z34" s="102"/>
      <c r="AA34" s="3"/>
      <c r="AB34" s="3"/>
      <c r="AC34" s="102"/>
      <c r="AD34" s="3"/>
      <c r="AE34" s="102"/>
    </row>
    <row r="35" spans="1:36" x14ac:dyDescent="0.25">
      <c r="A35" t="s">
        <v>9</v>
      </c>
      <c r="B35" s="16">
        <f>AVERAGE(B8:B32)</f>
        <v>69179.077439999979</v>
      </c>
      <c r="C35" s="16">
        <f t="shared" ref="C35:H35" si="15">AVERAGE(C8:C32)</f>
        <v>256663.44</v>
      </c>
      <c r="D35" s="16">
        <f t="shared" si="15"/>
        <v>187484.36256000001</v>
      </c>
      <c r="E35" s="16">
        <f t="shared" si="15"/>
        <v>12912.332959004319</v>
      </c>
      <c r="F35" s="16">
        <f t="shared" si="15"/>
        <v>45775.99143928197</v>
      </c>
      <c r="G35" s="16">
        <f t="shared" si="15"/>
        <v>1151.5838877404303</v>
      </c>
      <c r="H35" s="16">
        <f t="shared" si="15"/>
        <v>241.64773152078564</v>
      </c>
      <c r="I35" s="16"/>
      <c r="J35" s="16">
        <f t="shared" ref="J35:AJ35" si="16">AVERAGE(J8:J32)</f>
        <v>247565.91857754748</v>
      </c>
      <c r="K35" s="83">
        <f t="shared" si="16"/>
        <v>579910.27866197727</v>
      </c>
      <c r="L35" s="83">
        <f t="shared" si="16"/>
        <v>500778.42849685653</v>
      </c>
      <c r="M35" s="83">
        <f t="shared" si="16"/>
        <v>827476.19723952457</v>
      </c>
      <c r="N35" s="83">
        <f t="shared" si="16"/>
        <v>748344.34707440424</v>
      </c>
      <c r="O35" s="83"/>
      <c r="P35" s="83">
        <f t="shared" si="16"/>
        <v>1876.8139963999995</v>
      </c>
      <c r="Q35" s="83">
        <f t="shared" si="16"/>
        <v>396.41228039999959</v>
      </c>
      <c r="R35" s="83">
        <f t="shared" si="16"/>
        <v>3073.8572000000004</v>
      </c>
      <c r="S35" s="83">
        <f t="shared" si="16"/>
        <v>45125.756904424314</v>
      </c>
      <c r="T35" s="83">
        <f t="shared" si="16"/>
        <v>142615.14773659929</v>
      </c>
      <c r="U35" s="83">
        <f t="shared" si="16"/>
        <v>709635.16778183531</v>
      </c>
      <c r="V35" s="83">
        <f t="shared" si="16"/>
        <v>609685.22813904216</v>
      </c>
      <c r="W35" s="83">
        <f t="shared" si="16"/>
        <v>11870.195200011174</v>
      </c>
      <c r="X35" s="83">
        <f t="shared" si="16"/>
        <v>45775.99143928197</v>
      </c>
      <c r="Y35" s="83">
        <f t="shared" si="16"/>
        <v>709635.16778183531</v>
      </c>
      <c r="Z35" s="83">
        <f t="shared" si="16"/>
        <v>609685.22813904216</v>
      </c>
      <c r="AA35" s="83"/>
      <c r="AB35" s="83">
        <f t="shared" si="16"/>
        <v>785540.77085693274</v>
      </c>
      <c r="AC35" s="83">
        <f t="shared" si="16"/>
        <v>685590.83121413959</v>
      </c>
      <c r="AD35" s="83">
        <f t="shared" si="16"/>
        <v>817754.19480235293</v>
      </c>
      <c r="AE35" s="83">
        <f t="shared" si="16"/>
        <v>717804.25515955954</v>
      </c>
      <c r="AF35" s="16"/>
      <c r="AG35" s="16">
        <f t="shared" si="16"/>
        <v>41935.426382591933</v>
      </c>
      <c r="AH35" s="16">
        <f t="shared" si="16"/>
        <v>62753.51586026443</v>
      </c>
      <c r="AI35" s="16">
        <f t="shared" si="16"/>
        <v>9722.0024371719501</v>
      </c>
      <c r="AJ35" s="16">
        <f t="shared" si="16"/>
        <v>30540.091914844481</v>
      </c>
    </row>
    <row r="36" spans="1:36" x14ac:dyDescent="0.25">
      <c r="U36" s="28"/>
      <c r="V36" s="28"/>
    </row>
    <row r="37" spans="1:36" x14ac:dyDescent="0.25">
      <c r="U37" s="28"/>
      <c r="V37" s="28"/>
    </row>
    <row r="38" spans="1:36" x14ac:dyDescent="0.25">
      <c r="A38" t="s">
        <v>87</v>
      </c>
      <c r="D38" s="16" t="s">
        <v>70</v>
      </c>
      <c r="E38" s="1"/>
      <c r="F38" s="92"/>
      <c r="G38" s="16" t="s">
        <v>72</v>
      </c>
      <c r="H38"/>
      <c r="J38" s="16" t="s">
        <v>135</v>
      </c>
      <c r="K38" s="161" t="s">
        <v>136</v>
      </c>
    </row>
    <row r="39" spans="1:36" x14ac:dyDescent="0.25">
      <c r="A39" s="103" t="s">
        <v>2</v>
      </c>
      <c r="B39" s="39">
        <f>D35</f>
        <v>187484.36256000001</v>
      </c>
      <c r="D39" s="39" t="s">
        <v>11</v>
      </c>
      <c r="E39" s="74">
        <f>E35</f>
        <v>12912.332959004319</v>
      </c>
      <c r="F39" s="95"/>
      <c r="G39" s="39" t="s">
        <v>12</v>
      </c>
      <c r="H39" s="74">
        <f>S35</f>
        <v>45125.756904424314</v>
      </c>
      <c r="J39" s="161" t="s">
        <v>137</v>
      </c>
      <c r="K39" s="161" t="s">
        <v>138</v>
      </c>
      <c r="P39" s="16"/>
      <c r="Q39" s="16"/>
      <c r="R39" s="16"/>
    </row>
    <row r="40" spans="1:36" x14ac:dyDescent="0.25">
      <c r="A40" s="103" t="s">
        <v>11</v>
      </c>
      <c r="B40" s="39">
        <f>E35</f>
        <v>12912.332959004319</v>
      </c>
      <c r="D40" s="39" t="s">
        <v>13</v>
      </c>
      <c r="E40" s="74">
        <f>P35+Q35</f>
        <v>2273.2262767999991</v>
      </c>
      <c r="F40" s="95"/>
      <c r="G40" s="39" t="s">
        <v>13</v>
      </c>
      <c r="H40" s="74">
        <f>E40</f>
        <v>2273.2262767999991</v>
      </c>
      <c r="J40" s="161" t="s">
        <v>139</v>
      </c>
      <c r="K40" s="161" t="s">
        <v>140</v>
      </c>
      <c r="P40" s="16"/>
      <c r="Q40" s="16"/>
      <c r="R40" s="16"/>
    </row>
    <row r="41" spans="1:36" x14ac:dyDescent="0.25">
      <c r="A41" s="103" t="s">
        <v>3</v>
      </c>
      <c r="B41" s="39">
        <f>G35+H35</f>
        <v>1393.2316192612159</v>
      </c>
      <c r="D41" s="78" t="s">
        <v>95</v>
      </c>
      <c r="E41" s="39">
        <f>R35</f>
        <v>3073.8572000000004</v>
      </c>
      <c r="G41" s="78" t="s">
        <v>95</v>
      </c>
      <c r="H41" s="39">
        <f>E41</f>
        <v>3073.8572000000004</v>
      </c>
      <c r="J41" s="161" t="s">
        <v>141</v>
      </c>
      <c r="K41" s="161" t="s">
        <v>142</v>
      </c>
      <c r="P41" s="16"/>
      <c r="Q41" s="16"/>
      <c r="R41" s="16"/>
    </row>
    <row r="42" spans="1:36" x14ac:dyDescent="0.25">
      <c r="A42" s="79" t="s">
        <v>20</v>
      </c>
      <c r="B42" s="39">
        <f>F35</f>
        <v>45775.99143928197</v>
      </c>
      <c r="D42" s="78" t="s">
        <v>20</v>
      </c>
      <c r="E42" s="39">
        <f>F35</f>
        <v>45775.99143928197</v>
      </c>
      <c r="G42" s="78" t="s">
        <v>20</v>
      </c>
      <c r="H42" s="39">
        <f>E42</f>
        <v>45775.99143928197</v>
      </c>
      <c r="J42" s="161" t="s">
        <v>143</v>
      </c>
      <c r="K42" s="161" t="s">
        <v>144</v>
      </c>
      <c r="P42" s="16"/>
      <c r="Q42" s="16"/>
      <c r="R42" s="16"/>
    </row>
    <row r="43" spans="1:36" x14ac:dyDescent="0.25">
      <c r="A43" s="79" t="s">
        <v>68</v>
      </c>
      <c r="B43" s="39">
        <f>K35</f>
        <v>579910.27866197727</v>
      </c>
      <c r="D43" s="39" t="s">
        <v>5</v>
      </c>
      <c r="E43" s="74">
        <f>W35</f>
        <v>11870.195200011174</v>
      </c>
      <c r="F43" s="95"/>
      <c r="G43" s="39" t="s">
        <v>5</v>
      </c>
      <c r="H43" s="74">
        <f>E43</f>
        <v>11870.195200011174</v>
      </c>
      <c r="J43" s="161" t="s">
        <v>5</v>
      </c>
      <c r="K43" s="161" t="s">
        <v>145</v>
      </c>
      <c r="P43" s="16"/>
      <c r="Q43" s="16"/>
      <c r="R43" s="16"/>
    </row>
    <row r="44" spans="1:36" x14ac:dyDescent="0.25">
      <c r="A44" s="103" t="s">
        <v>22</v>
      </c>
      <c r="B44" s="39">
        <f>SUM(B39:B43)</f>
        <v>827476.1972395248</v>
      </c>
      <c r="D44" s="39" t="s">
        <v>18</v>
      </c>
      <c r="E44" s="74">
        <f>Y35</f>
        <v>709635.16778183531</v>
      </c>
      <c r="F44" s="95"/>
      <c r="G44" s="39" t="s">
        <v>18</v>
      </c>
      <c r="H44" s="74">
        <f>E44</f>
        <v>709635.16778183531</v>
      </c>
      <c r="J44" s="5" t="s">
        <v>146</v>
      </c>
      <c r="K44" s="161" t="s">
        <v>147</v>
      </c>
    </row>
    <row r="45" spans="1:36" x14ac:dyDescent="0.25">
      <c r="D45" s="39" t="s">
        <v>42</v>
      </c>
      <c r="E45" s="74">
        <f>B44-E46</f>
        <v>41935.426382592064</v>
      </c>
      <c r="F45" s="95"/>
      <c r="G45" s="39" t="s">
        <v>42</v>
      </c>
      <c r="H45" s="74">
        <f>B44-H46</f>
        <v>9722.0024371719919</v>
      </c>
      <c r="J45" s="5" t="s">
        <v>148</v>
      </c>
      <c r="K45" s="161" t="s">
        <v>149</v>
      </c>
    </row>
    <row r="46" spans="1:36" x14ac:dyDescent="0.25">
      <c r="A46" s="114" t="s">
        <v>88</v>
      </c>
      <c r="B46" s="114"/>
      <c r="C46" s="114"/>
      <c r="D46" s="39" t="s">
        <v>22</v>
      </c>
      <c r="E46" s="74">
        <f>SUM(E39:E44)</f>
        <v>785540.77085693274</v>
      </c>
      <c r="F46" s="95"/>
      <c r="G46" s="39" t="s">
        <v>22</v>
      </c>
      <c r="H46" s="74">
        <f>SUM(H39:H44)</f>
        <v>817754.19480235281</v>
      </c>
      <c r="J46" s="5" t="s">
        <v>150</v>
      </c>
      <c r="K46" s="161" t="s">
        <v>151</v>
      </c>
    </row>
    <row r="47" spans="1:36" x14ac:dyDescent="0.25">
      <c r="A47" s="103" t="s">
        <v>2</v>
      </c>
      <c r="B47" s="39">
        <f>B39</f>
        <v>187484.36256000001</v>
      </c>
      <c r="C47" s="114"/>
      <c r="J47" s="125" t="s">
        <v>152</v>
      </c>
      <c r="K47" s="125" t="s">
        <v>153</v>
      </c>
    </row>
    <row r="48" spans="1:36" x14ac:dyDescent="0.25">
      <c r="A48" s="103" t="s">
        <v>11</v>
      </c>
      <c r="B48" s="39">
        <f t="shared" ref="B48:B50" si="17">B40</f>
        <v>12912.332959004319</v>
      </c>
      <c r="C48" s="114"/>
      <c r="D48" s="16" t="s">
        <v>71</v>
      </c>
      <c r="E48" s="113"/>
      <c r="F48" s="113"/>
      <c r="G48" s="16" t="s">
        <v>73</v>
      </c>
      <c r="H48" s="114"/>
      <c r="J48" s="125" t="s">
        <v>154</v>
      </c>
      <c r="K48" s="125" t="s">
        <v>155</v>
      </c>
    </row>
    <row r="49" spans="1:8" x14ac:dyDescent="0.25">
      <c r="A49" s="103" t="s">
        <v>3</v>
      </c>
      <c r="B49" s="39">
        <f t="shared" si="17"/>
        <v>1393.2316192612159</v>
      </c>
      <c r="C49" s="114"/>
      <c r="D49" s="39" t="s">
        <v>11</v>
      </c>
      <c r="E49" s="74">
        <f>E39</f>
        <v>12912.332959004319</v>
      </c>
      <c r="F49" s="95"/>
      <c r="G49" s="39" t="s">
        <v>12</v>
      </c>
      <c r="H49" s="74">
        <f>H39</f>
        <v>45125.756904424314</v>
      </c>
    </row>
    <row r="50" spans="1:8" x14ac:dyDescent="0.25">
      <c r="A50" s="79" t="s">
        <v>20</v>
      </c>
      <c r="B50" s="39">
        <f t="shared" si="17"/>
        <v>45775.99143928197</v>
      </c>
      <c r="C50" s="114"/>
      <c r="D50" s="39" t="s">
        <v>13</v>
      </c>
      <c r="E50" s="74">
        <f>E40</f>
        <v>2273.2262767999991</v>
      </c>
      <c r="F50" s="95"/>
      <c r="G50" s="39" t="s">
        <v>13</v>
      </c>
      <c r="H50" s="74">
        <f>E50</f>
        <v>2273.2262767999991</v>
      </c>
    </row>
    <row r="51" spans="1:8" x14ac:dyDescent="0.25">
      <c r="A51" s="79" t="s">
        <v>68</v>
      </c>
      <c r="B51" s="39">
        <f>L35</f>
        <v>500778.42849685653</v>
      </c>
      <c r="C51" s="114"/>
      <c r="D51" s="78" t="s">
        <v>95</v>
      </c>
      <c r="E51" s="39">
        <f>E41</f>
        <v>3073.8572000000004</v>
      </c>
      <c r="F51" s="126"/>
      <c r="G51" s="78" t="s">
        <v>95</v>
      </c>
      <c r="H51" s="39">
        <f>E51</f>
        <v>3073.8572000000004</v>
      </c>
    </row>
    <row r="52" spans="1:8" x14ac:dyDescent="0.25">
      <c r="A52" s="103" t="s">
        <v>22</v>
      </c>
      <c r="B52" s="39">
        <f>SUM(B47:B51)</f>
        <v>748344.34707440401</v>
      </c>
      <c r="C52" s="114"/>
      <c r="D52" s="78" t="s">
        <v>20</v>
      </c>
      <c r="E52" s="39">
        <f>E42</f>
        <v>45775.99143928197</v>
      </c>
      <c r="F52" s="126"/>
      <c r="G52" s="78" t="s">
        <v>20</v>
      </c>
      <c r="H52" s="39">
        <f>E52</f>
        <v>45775.99143928197</v>
      </c>
    </row>
    <row r="53" spans="1:8" x14ac:dyDescent="0.25">
      <c r="D53" s="39" t="s">
        <v>5</v>
      </c>
      <c r="E53" s="74">
        <f>E43</f>
        <v>11870.195200011174</v>
      </c>
      <c r="F53" s="95"/>
      <c r="G53" s="39" t="s">
        <v>5</v>
      </c>
      <c r="H53" s="74">
        <f>E53</f>
        <v>11870.195200011174</v>
      </c>
    </row>
    <row r="54" spans="1:8" x14ac:dyDescent="0.25">
      <c r="D54" s="39" t="s">
        <v>18</v>
      </c>
      <c r="E54" s="74">
        <f>Z35</f>
        <v>609685.22813904216</v>
      </c>
      <c r="F54" s="95"/>
      <c r="G54" s="39" t="s">
        <v>18</v>
      </c>
      <c r="H54" s="74">
        <f>E54</f>
        <v>609685.22813904216</v>
      </c>
    </row>
    <row r="55" spans="1:8" x14ac:dyDescent="0.25">
      <c r="D55" s="39" t="s">
        <v>42</v>
      </c>
      <c r="E55" s="74">
        <f>B52-E56</f>
        <v>62753.515860264422</v>
      </c>
      <c r="F55" s="95"/>
      <c r="G55" s="39" t="s">
        <v>42</v>
      </c>
      <c r="H55" s="74">
        <f>B52-H56</f>
        <v>30540.09191484435</v>
      </c>
    </row>
    <row r="56" spans="1:8" x14ac:dyDescent="0.25">
      <c r="D56" s="39" t="s">
        <v>22</v>
      </c>
      <c r="E56" s="74">
        <f>SUM(E49:E54)</f>
        <v>685590.83121413959</v>
      </c>
      <c r="F56" s="95"/>
      <c r="G56" s="39" t="s">
        <v>22</v>
      </c>
      <c r="H56" s="74">
        <f>SUM(H49:H54)</f>
        <v>717804.25515955966</v>
      </c>
    </row>
  </sheetData>
  <mergeCells count="1">
    <mergeCell ref="A6:A7"/>
  </mergeCells>
  <printOptions gridLines="1"/>
  <pageMargins left="0.7" right="0.7" top="0.75" bottom="0.75" header="0.3" footer="0.3"/>
  <pageSetup scale="14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/>
    <pageSetUpPr fitToPage="1"/>
  </sheetPr>
  <dimension ref="A1:AN62"/>
  <sheetViews>
    <sheetView showGridLines="0" tabSelected="1" topLeftCell="V1" zoomScale="70" zoomScaleNormal="70" workbookViewId="0">
      <selection activeCell="AI2" sqref="AI2"/>
    </sheetView>
  </sheetViews>
  <sheetFormatPr defaultColWidth="9.140625" defaultRowHeight="15" x14ac:dyDescent="0.25"/>
  <cols>
    <col min="1" max="1" width="18.42578125" style="6" customWidth="1"/>
    <col min="2" max="2" width="18" style="6" customWidth="1"/>
    <col min="3" max="4" width="26.7109375" style="6" customWidth="1"/>
    <col min="5" max="5" width="18" style="6" customWidth="1"/>
    <col min="6" max="6" width="20.5703125" style="50" customWidth="1"/>
    <col min="7" max="7" width="20.5703125" style="117" customWidth="1"/>
    <col min="8" max="8" width="19.28515625" style="6" bestFit="1" customWidth="1"/>
    <col min="9" max="9" width="21" style="6" bestFit="1" customWidth="1"/>
    <col min="10" max="10" width="21.42578125" customWidth="1"/>
    <col min="11" max="11" width="16" style="1" customWidth="1"/>
    <col min="12" max="12" width="16" style="108" customWidth="1"/>
    <col min="13" max="13" width="23.5703125" customWidth="1"/>
    <col min="14" max="14" width="23.5703125" style="109" customWidth="1"/>
    <col min="15" max="15" width="13.7109375" customWidth="1"/>
    <col min="16" max="16" width="20.140625" style="51" customWidth="1"/>
    <col min="17" max="17" width="20.140625" style="118" customWidth="1"/>
    <col min="18" max="18" width="20.140625" style="126" customWidth="1"/>
    <col min="19" max="28" width="20.140625" style="6" customWidth="1"/>
    <col min="29" max="29" width="17.28515625" style="6" customWidth="1"/>
    <col min="30" max="33" width="18.7109375" style="6" customWidth="1"/>
    <col min="34" max="35" width="9.140625" style="6"/>
    <col min="36" max="39" width="21.140625" style="6" customWidth="1"/>
    <col min="40" max="16384" width="9.140625" style="6"/>
  </cols>
  <sheetData>
    <row r="1" spans="1:39" x14ac:dyDescent="0.25">
      <c r="A1" s="6" t="s">
        <v>108</v>
      </c>
      <c r="B1" s="162">
        <v>43262</v>
      </c>
      <c r="F1" s="127"/>
      <c r="G1" s="127"/>
      <c r="J1" s="161"/>
      <c r="K1" s="127"/>
      <c r="L1" s="127"/>
      <c r="M1" s="161"/>
      <c r="N1" s="161"/>
      <c r="O1" s="161"/>
      <c r="P1" s="161"/>
      <c r="Q1" s="161"/>
      <c r="R1" s="161"/>
    </row>
    <row r="2" spans="1:39" x14ac:dyDescent="0.25">
      <c r="A2" s="6" t="s">
        <v>109</v>
      </c>
      <c r="B2" s="6" t="s">
        <v>110</v>
      </c>
      <c r="F2" s="127"/>
      <c r="G2" s="127"/>
      <c r="J2" s="161"/>
      <c r="K2" s="127"/>
      <c r="L2" s="127"/>
      <c r="M2" s="161"/>
      <c r="N2" s="161"/>
      <c r="O2" s="161"/>
      <c r="P2" s="161"/>
      <c r="Q2" s="161"/>
      <c r="R2" s="161"/>
    </row>
    <row r="3" spans="1:39" x14ac:dyDescent="0.25">
      <c r="A3" s="6" t="s">
        <v>14</v>
      </c>
      <c r="J3" s="20"/>
      <c r="K3" s="20"/>
      <c r="L3" s="20"/>
    </row>
    <row r="4" spans="1:39" x14ac:dyDescent="0.25">
      <c r="A4" s="6" t="s">
        <v>15</v>
      </c>
      <c r="J4" s="21"/>
      <c r="K4" s="22"/>
      <c r="L4" s="22"/>
    </row>
    <row r="5" spans="1:39" s="10" customFormat="1" ht="15" customHeight="1" x14ac:dyDescent="0.25">
      <c r="F5" s="121"/>
      <c r="G5" s="32"/>
      <c r="H5" s="23"/>
      <c r="J5" s="12"/>
      <c r="K5" s="1"/>
      <c r="L5" s="108"/>
      <c r="M5" s="12"/>
      <c r="N5" s="101"/>
      <c r="O5"/>
      <c r="P5" s="51"/>
      <c r="Q5" s="118"/>
      <c r="R5" s="6"/>
      <c r="S5" s="3"/>
      <c r="T5" s="3"/>
      <c r="U5" s="9"/>
      <c r="V5" s="9"/>
      <c r="W5" s="6"/>
      <c r="X5" s="63"/>
      <c r="Y5" s="126"/>
      <c r="Z5" s="52"/>
      <c r="AA5" s="107"/>
      <c r="AB5" s="63"/>
      <c r="AH5"/>
      <c r="AI5" s="128"/>
    </row>
    <row r="6" spans="1:39" s="10" customFormat="1" ht="60" x14ac:dyDescent="0.25">
      <c r="A6" s="185" t="s">
        <v>1</v>
      </c>
      <c r="B6" s="163" t="s">
        <v>0</v>
      </c>
      <c r="C6" s="163" t="s">
        <v>121</v>
      </c>
      <c r="D6" s="163" t="s">
        <v>98</v>
      </c>
      <c r="E6" s="163" t="s">
        <v>20</v>
      </c>
      <c r="F6" s="163" t="s">
        <v>116</v>
      </c>
      <c r="G6" s="163" t="s">
        <v>117</v>
      </c>
      <c r="H6" s="164" t="s">
        <v>11</v>
      </c>
      <c r="I6" s="20"/>
      <c r="J6" s="163" t="s">
        <v>118</v>
      </c>
      <c r="K6" s="163" t="s">
        <v>78</v>
      </c>
      <c r="L6" s="163" t="s">
        <v>79</v>
      </c>
      <c r="M6" s="163" t="s">
        <v>80</v>
      </c>
      <c r="N6" s="163" t="s">
        <v>81</v>
      </c>
      <c r="O6" s="131"/>
      <c r="P6" s="166" t="s">
        <v>119</v>
      </c>
      <c r="Q6" s="166" t="s">
        <v>120</v>
      </c>
      <c r="R6" s="166" t="s">
        <v>95</v>
      </c>
      <c r="S6" s="166" t="s">
        <v>12</v>
      </c>
      <c r="T6" s="166" t="s">
        <v>82</v>
      </c>
      <c r="U6" s="173" t="s">
        <v>51</v>
      </c>
      <c r="V6" s="173" t="s">
        <v>52</v>
      </c>
      <c r="W6" s="166" t="s">
        <v>5</v>
      </c>
      <c r="X6" s="166" t="s">
        <v>43</v>
      </c>
      <c r="Y6" s="166" t="s">
        <v>20</v>
      </c>
      <c r="Z6" s="166" t="s">
        <v>47</v>
      </c>
      <c r="AA6" s="166" t="s">
        <v>48</v>
      </c>
      <c r="AB6" s="166" t="s">
        <v>122</v>
      </c>
      <c r="AC6" s="130"/>
      <c r="AD6" s="166" t="s">
        <v>70</v>
      </c>
      <c r="AE6" s="166" t="s">
        <v>71</v>
      </c>
      <c r="AF6" s="166" t="s">
        <v>72</v>
      </c>
      <c r="AG6" s="166" t="s">
        <v>73</v>
      </c>
      <c r="AH6" s="130"/>
      <c r="AI6" s="130"/>
      <c r="AJ6" s="166" t="s">
        <v>74</v>
      </c>
      <c r="AK6" s="166" t="s">
        <v>75</v>
      </c>
      <c r="AL6" s="166" t="s">
        <v>76</v>
      </c>
      <c r="AM6" s="166" t="s">
        <v>77</v>
      </c>
    </row>
    <row r="7" spans="1:39" s="10" customFormat="1" x14ac:dyDescent="0.25">
      <c r="A7" s="185"/>
      <c r="B7" s="164" t="s">
        <v>8</v>
      </c>
      <c r="C7" s="164" t="s">
        <v>8</v>
      </c>
      <c r="D7" s="164" t="s">
        <v>8</v>
      </c>
      <c r="E7" s="163" t="s">
        <v>8</v>
      </c>
      <c r="F7" s="164" t="s">
        <v>8</v>
      </c>
      <c r="G7" s="164" t="s">
        <v>8</v>
      </c>
      <c r="H7" s="164" t="s">
        <v>8</v>
      </c>
      <c r="I7" s="20"/>
      <c r="J7" s="164" t="s">
        <v>8</v>
      </c>
      <c r="K7" s="164" t="s">
        <v>8</v>
      </c>
      <c r="L7" s="164" t="s">
        <v>8</v>
      </c>
      <c r="M7" s="164" t="s">
        <v>8</v>
      </c>
      <c r="N7" s="164" t="s">
        <v>8</v>
      </c>
      <c r="O7" s="131"/>
      <c r="P7" s="164" t="s">
        <v>8</v>
      </c>
      <c r="Q7" s="164" t="s">
        <v>8</v>
      </c>
      <c r="R7" s="164" t="s">
        <v>8</v>
      </c>
      <c r="S7" s="164" t="s">
        <v>8</v>
      </c>
      <c r="T7" s="164" t="s">
        <v>8</v>
      </c>
      <c r="U7" s="174" t="s">
        <v>8</v>
      </c>
      <c r="V7" s="174" t="s">
        <v>8</v>
      </c>
      <c r="W7" s="164" t="s">
        <v>8</v>
      </c>
      <c r="X7" s="164" t="s">
        <v>8</v>
      </c>
      <c r="Y7" s="164" t="s">
        <v>8</v>
      </c>
      <c r="Z7" s="164" t="s">
        <v>8</v>
      </c>
      <c r="AA7" s="164" t="s">
        <v>8</v>
      </c>
      <c r="AB7" s="164" t="s">
        <v>8</v>
      </c>
      <c r="AC7" s="130"/>
      <c r="AD7" s="164" t="s">
        <v>8</v>
      </c>
      <c r="AE7" s="164" t="s">
        <v>8</v>
      </c>
      <c r="AF7" s="164" t="s">
        <v>8</v>
      </c>
      <c r="AG7" s="164" t="s">
        <v>8</v>
      </c>
      <c r="AH7" s="130"/>
      <c r="AI7" s="130"/>
      <c r="AJ7" s="164" t="s">
        <v>8</v>
      </c>
      <c r="AK7" s="164" t="s">
        <v>8</v>
      </c>
      <c r="AL7" s="164" t="s">
        <v>8</v>
      </c>
      <c r="AM7" s="164" t="s">
        <v>8</v>
      </c>
    </row>
    <row r="8" spans="1:39" x14ac:dyDescent="0.25">
      <c r="A8" s="38">
        <v>1988</v>
      </c>
      <c r="B8" s="146">
        <f>'[1]Capped Flow'!O7</f>
        <v>191436.3</v>
      </c>
      <c r="C8" s="146">
        <f>'[1]Capped Flow'!P7</f>
        <v>201290.75999999998</v>
      </c>
      <c r="D8" s="146">
        <f>C8-B8</f>
        <v>9854.4599999999919</v>
      </c>
      <c r="E8" s="146">
        <f>IF('[2]Reservoir Evap'!J11&gt;0, '[2]Reservoir Evap'!J11, 0)</f>
        <v>53490.4375616385</v>
      </c>
      <c r="F8" s="146">
        <f>[2]SWCU!J10</f>
        <v>23775.229412814439</v>
      </c>
      <c r="G8" s="146">
        <f>[2]SWCU!K10</f>
        <v>3166.5059011103708</v>
      </c>
      <c r="H8" s="146">
        <f>'[2]GW Depletions'!R15+'[2]GW Depletions'!S15</f>
        <v>7464.8769172312223</v>
      </c>
      <c r="J8" s="78">
        <f>SUM(D8:H8)</f>
        <v>97751.509792794517</v>
      </c>
      <c r="K8" s="155">
        <f>'[3]Req Inflow'!K7</f>
        <v>161158.62698507422</v>
      </c>
      <c r="L8" s="155">
        <f>'[3]Req Inflow'!L7</f>
        <v>161158.62698507422</v>
      </c>
      <c r="M8" s="43">
        <f t="shared" ref="M8:M32" si="0">J8+K8</f>
        <v>258910.13677786873</v>
      </c>
      <c r="N8" s="43">
        <f t="shared" ref="N8:N32" si="1">J8+L8</f>
        <v>258910.13677786873</v>
      </c>
      <c r="P8" s="111">
        <f>[2]SWDemand!P14</f>
        <v>36820.611749999989</v>
      </c>
      <c r="Q8" s="111">
        <f>[2]SWDemand!S14</f>
        <v>4873.7494200000001</v>
      </c>
      <c r="R8" s="73">
        <f>'[2]M&amp;I COHYST Summary'!C36</f>
        <v>1436.2400000000002</v>
      </c>
      <c r="S8" s="72">
        <f>MAX([2]GWCU!F12*0.3+[2]GWCU!G12*0.3,H8)</f>
        <v>12579.432809999984</v>
      </c>
      <c r="T8" s="72">
        <f>IF('[3]DS Demand'!O7&gt;0,'[3]DS Demand'!O7,0)</f>
        <v>195404.14474950073</v>
      </c>
      <c r="U8" s="72">
        <f>IF(92*3465&gt;('Lewellen_Irrigation Season'!E8+'Lewellen_Irrigation Season'!B8),('Lewellen_Irrigation Season'!E8+'Lewellen_Irrigation Season'!B8),92*3465)</f>
        <v>163385.23026901748</v>
      </c>
      <c r="V8" s="72">
        <f>MIN(92*3762-'SPlatte_Irrigation Season'!P8,U8)</f>
        <v>163385.23026901748</v>
      </c>
      <c r="W8" s="73">
        <f>'[2]Net SW Loss'!L13+'[2]Net SW Loss'!M13</f>
        <v>34639.810000650054</v>
      </c>
      <c r="X8" s="111">
        <f>MAX(0,AB8-(P8+W8))</f>
        <v>0</v>
      </c>
      <c r="Y8" s="111">
        <f t="shared" ref="Y8:Y32" si="2">E8</f>
        <v>53490.4375616385</v>
      </c>
      <c r="Z8" s="73">
        <f>MAX(T8,U8)</f>
        <v>195404.14474950073</v>
      </c>
      <c r="AA8" s="73">
        <f>MAX(T8,V8)</f>
        <v>195404.14474950073</v>
      </c>
      <c r="AB8" s="111">
        <f>'[2]Mac EOM '!F10</f>
        <v>0</v>
      </c>
      <c r="AC8" s="116"/>
      <c r="AD8" s="62">
        <f>H8+P8+Z8-MIN(AB8,P8+'[2]Net SW Loss'!L13)+R8+Q8+Y8+W8</f>
        <v>334129.8703990205</v>
      </c>
      <c r="AE8" s="62">
        <f>H8+P8+AA8-MIN(AB8,P8+'[2]Net SW Loss'!L13)+R8+Q8+Y8+W8</f>
        <v>334129.8703990205</v>
      </c>
      <c r="AF8" s="62">
        <f>S8+P8+Z8-MIN(AB8,P8+'[2]Net SW Loss'!L13)+R8+Q8+Y8+W8</f>
        <v>339244.42629178928</v>
      </c>
      <c r="AG8" s="62">
        <f>S8+P8+AA8-MIN(AB8,P8+'[2]Net SW Loss'!L13)+R8+Q8+Y8+W8</f>
        <v>339244.42629178928</v>
      </c>
      <c r="AH8" s="83"/>
      <c r="AI8" s="83"/>
      <c r="AJ8" s="62">
        <f>M8-AD8</f>
        <v>-75219.733621151769</v>
      </c>
      <c r="AK8" s="62">
        <f>N8-AE8</f>
        <v>-75219.733621151769</v>
      </c>
      <c r="AL8" s="62">
        <f>M8-AF8</f>
        <v>-80334.28951392055</v>
      </c>
      <c r="AM8" s="62">
        <f>N8-AG8</f>
        <v>-80334.28951392055</v>
      </c>
    </row>
    <row r="9" spans="1:39" x14ac:dyDescent="0.25">
      <c r="A9" s="38">
        <v>1989</v>
      </c>
      <c r="B9" s="146">
        <f>'[1]Capped Flow'!O8</f>
        <v>208654.38000000006</v>
      </c>
      <c r="C9" s="146">
        <f>'[1]Capped Flow'!P8</f>
        <v>194831.99999999997</v>
      </c>
      <c r="D9" s="146">
        <f t="shared" ref="D9:D32" si="3">C9-B9</f>
        <v>-13822.380000000092</v>
      </c>
      <c r="E9" s="146">
        <f>IF('[2]Reservoir Evap'!J12&gt;0, '[2]Reservoir Evap'!J12, 0)</f>
        <v>48725.072597228827</v>
      </c>
      <c r="F9" s="146">
        <f>[2]SWCU!J11</f>
        <v>19222.045264731045</v>
      </c>
      <c r="G9" s="146">
        <f>[2]SWCU!K11</f>
        <v>4424.0466854484439</v>
      </c>
      <c r="H9" s="146">
        <f>'[2]GW Depletions'!R16+'[2]GW Depletions'!S16</f>
        <v>6993.6687030898065</v>
      </c>
      <c r="J9" s="78">
        <f t="shared" ref="J9:J32" si="4">SUM(D9:H9)</f>
        <v>65542.453250498031</v>
      </c>
      <c r="K9" s="155">
        <f>'[3]Req Inflow'!K8</f>
        <v>109510.47474275432</v>
      </c>
      <c r="L9" s="155">
        <f>'[3]Req Inflow'!L8</f>
        <v>109510.47474275432</v>
      </c>
      <c r="M9" s="43">
        <f t="shared" si="0"/>
        <v>175052.92799325235</v>
      </c>
      <c r="N9" s="43">
        <f t="shared" si="1"/>
        <v>175052.92799325235</v>
      </c>
      <c r="P9" s="111">
        <f>[2]SWDemand!P15</f>
        <v>30283.463280000004</v>
      </c>
      <c r="Q9" s="111">
        <f>[2]SWDemand!S15</f>
        <v>6810.106949999994</v>
      </c>
      <c r="R9" s="73">
        <f>'[2]M&amp;I COHYST Summary'!C37</f>
        <v>1424.69</v>
      </c>
      <c r="S9" s="72">
        <f>MAX([2]GWCU!F13*0.3+[2]GWCU!G13*0.3,H9)</f>
        <v>20394.947367500004</v>
      </c>
      <c r="T9" s="72">
        <f>IF('[3]DS Demand'!O8&gt;0,'[3]DS Demand'!O8,0)</f>
        <v>221358.53344483522</v>
      </c>
      <c r="U9" s="72">
        <f>IF(92*3465&gt;('Lewellen_Irrigation Season'!E9+'Lewellen_Irrigation Season'!B9),('Lewellen_Irrigation Season'!E9+'Lewellen_Irrigation Season'!B9),92*3465)</f>
        <v>94236.823011425615</v>
      </c>
      <c r="V9" s="72">
        <f>MIN(92*3762-'SPlatte_Irrigation Season'!P9,U9)</f>
        <v>94236.823011425615</v>
      </c>
      <c r="W9" s="73">
        <f>'[2]Net SW Loss'!L14+'[2]Net SW Loss'!M14</f>
        <v>34374.020000070028</v>
      </c>
      <c r="X9" s="111">
        <f t="shared" ref="X9:X32" si="5">MAX(0,AB9-(P9+W9))</f>
        <v>0</v>
      </c>
      <c r="Y9" s="111">
        <f t="shared" si="2"/>
        <v>48725.072597228827</v>
      </c>
      <c r="Z9" s="73">
        <f t="shared" ref="Z9:Z32" si="6">MAX(T9,U9)</f>
        <v>221358.53344483522</v>
      </c>
      <c r="AA9" s="73">
        <f t="shared" ref="AA9:AA32" si="7">MAX(T9,V9)</f>
        <v>221358.53344483522</v>
      </c>
      <c r="AB9" s="111">
        <f>'[2]Mac EOM '!F11</f>
        <v>0</v>
      </c>
      <c r="AC9" s="116"/>
      <c r="AD9" s="62">
        <f>H9+P9+Z9-MIN(AB9,P9+'[2]Net SW Loss'!L14)+R9+Q9+Y9+W9</f>
        <v>349969.5549752239</v>
      </c>
      <c r="AE9" s="62">
        <f>H9+P9+AA9-MIN(AB9,P9+'[2]Net SW Loss'!L14)+R9+Q9+Y9+W9</f>
        <v>349969.5549752239</v>
      </c>
      <c r="AF9" s="62">
        <f>S9+P9+Z9-MIN(AB9,P9+'[2]Net SW Loss'!L14)+R9+Q9+Y9+W9</f>
        <v>363370.83363963407</v>
      </c>
      <c r="AG9" s="62">
        <f>S9+P9+AA9-MIN(AB9,P9+'[2]Net SW Loss'!L14)+R9+Q9+Y9+W9</f>
        <v>363370.83363963407</v>
      </c>
      <c r="AH9" s="83"/>
      <c r="AI9" s="83"/>
      <c r="AJ9" s="62">
        <f t="shared" ref="AJ9:AJ32" si="8">$M9-AD9</f>
        <v>-174916.62698197155</v>
      </c>
      <c r="AK9" s="62">
        <f t="shared" ref="AK9:AK32" si="9">N9-AE9</f>
        <v>-174916.62698197155</v>
      </c>
      <c r="AL9" s="62">
        <f t="shared" ref="AL9:AL32" si="10">$M9-AF9</f>
        <v>-188317.90564638173</v>
      </c>
      <c r="AM9" s="62">
        <f t="shared" ref="AM9:AM32" si="11">N9-AG9</f>
        <v>-188317.90564638173</v>
      </c>
    </row>
    <row r="10" spans="1:39" x14ac:dyDescent="0.25">
      <c r="A10" s="38">
        <v>1990</v>
      </c>
      <c r="B10" s="146">
        <f>'[1]Capped Flow'!O9</f>
        <v>228248.46000000005</v>
      </c>
      <c r="C10" s="146">
        <f>'[1]Capped Flow'!P9</f>
        <v>201744.18000000002</v>
      </c>
      <c r="D10" s="146">
        <f t="shared" si="3"/>
        <v>-26504.280000000028</v>
      </c>
      <c r="E10" s="146">
        <f>IF('[2]Reservoir Evap'!J13&gt;0, '[2]Reservoir Evap'!J13, 0)</f>
        <v>48158.772837005083</v>
      </c>
      <c r="F10" s="146">
        <f>[2]SWCU!J12</f>
        <v>25371.636263613698</v>
      </c>
      <c r="G10" s="146">
        <f>[2]SWCU!K12</f>
        <v>3722.5720350175866</v>
      </c>
      <c r="H10" s="146">
        <f>'[2]GW Depletions'!R17+'[2]GW Depletions'!S17</f>
        <v>9857.3747778831967</v>
      </c>
      <c r="J10" s="78">
        <f t="shared" si="4"/>
        <v>60606.075913519533</v>
      </c>
      <c r="K10" s="155">
        <f>'[3]Req Inflow'!K9</f>
        <v>124324.62590432839</v>
      </c>
      <c r="L10" s="155">
        <f>'[3]Req Inflow'!L9</f>
        <v>124324.62590432839</v>
      </c>
      <c r="M10" s="43">
        <f t="shared" si="0"/>
        <v>184930.70181784793</v>
      </c>
      <c r="N10" s="43">
        <f t="shared" si="1"/>
        <v>184930.70181784793</v>
      </c>
      <c r="P10" s="111">
        <f>[2]SWDemand!P16</f>
        <v>39606.269850000012</v>
      </c>
      <c r="Q10" s="111">
        <f>[2]SWDemand!S16</f>
        <v>5729.6556299999984</v>
      </c>
      <c r="R10" s="73">
        <f>'[2]M&amp;I COHYST Summary'!C38</f>
        <v>1588.44</v>
      </c>
      <c r="S10" s="72">
        <f>MAX([2]GWCU!F14*0.3+[2]GWCU!G14*0.3,H10)</f>
        <v>15727.25483250001</v>
      </c>
      <c r="T10" s="72">
        <f>IF('[3]DS Demand'!O9&gt;0,'[3]DS Demand'!O9,0)</f>
        <v>287489.58461798949</v>
      </c>
      <c r="U10" s="72">
        <f>IF(92*3465&gt;('Lewellen_Irrigation Season'!E10+'Lewellen_Irrigation Season'!B10),('Lewellen_Irrigation Season'!E10+'Lewellen_Irrigation Season'!B10),92*3465)</f>
        <v>112681.48185982555</v>
      </c>
      <c r="V10" s="72">
        <f>MIN(92*3762-'SPlatte_Irrigation Season'!P10,U10)</f>
        <v>112681.48185982555</v>
      </c>
      <c r="W10" s="73">
        <f>'[2]Net SW Loss'!L15+'[2]Net SW Loss'!M15</f>
        <v>34388.630000650061</v>
      </c>
      <c r="X10" s="111">
        <f t="shared" si="5"/>
        <v>0</v>
      </c>
      <c r="Y10" s="111">
        <f t="shared" si="2"/>
        <v>48158.772837005083</v>
      </c>
      <c r="Z10" s="73">
        <f t="shared" si="6"/>
        <v>287489.58461798949</v>
      </c>
      <c r="AA10" s="73">
        <f t="shared" si="7"/>
        <v>287489.58461798949</v>
      </c>
      <c r="AB10" s="111">
        <f>'[2]Mac EOM '!F12</f>
        <v>0</v>
      </c>
      <c r="AC10" s="116"/>
      <c r="AD10" s="62">
        <f>H10+P10+Z10-MIN(AB10,P10+'[2]Net SW Loss'!L15)+R10+Q10+Y10+W10</f>
        <v>426818.72771352786</v>
      </c>
      <c r="AE10" s="62">
        <f>H10+P10+AA10-MIN(AB10,P10+'[2]Net SW Loss'!L15)+R10+Q10+Y10+W10</f>
        <v>426818.72771352786</v>
      </c>
      <c r="AF10" s="62">
        <f>S10+P10+Z10-MIN(AB10,P10+'[2]Net SW Loss'!L15)+R10+Q10+Y10+W10</f>
        <v>432688.60776814469</v>
      </c>
      <c r="AG10" s="62">
        <f>S10+P10+AA10-MIN(AB10,P10+'[2]Net SW Loss'!L15)+R10+Q10+Y10+W10</f>
        <v>432688.60776814469</v>
      </c>
      <c r="AH10" s="83"/>
      <c r="AI10" s="83"/>
      <c r="AJ10" s="62">
        <f t="shared" si="8"/>
        <v>-241888.02589567992</v>
      </c>
      <c r="AK10" s="62">
        <f t="shared" si="9"/>
        <v>-241888.02589567992</v>
      </c>
      <c r="AL10" s="62">
        <f t="shared" si="10"/>
        <v>-247757.90595029676</v>
      </c>
      <c r="AM10" s="62">
        <f t="shared" si="11"/>
        <v>-247757.90595029676</v>
      </c>
    </row>
    <row r="11" spans="1:39" x14ac:dyDescent="0.25">
      <c r="A11" s="38">
        <v>1991</v>
      </c>
      <c r="B11" s="146">
        <f>'[1]Capped Flow'!O10</f>
        <v>265947.66000000009</v>
      </c>
      <c r="C11" s="146">
        <f>'[1]Capped Flow'!P10</f>
        <v>230796.71999999997</v>
      </c>
      <c r="D11" s="146">
        <f t="shared" si="3"/>
        <v>-35150.940000000119</v>
      </c>
      <c r="E11" s="146">
        <f>IF('[2]Reservoir Evap'!J14&gt;0, '[2]Reservoir Evap'!J14, 0)</f>
        <v>40930.814804077934</v>
      </c>
      <c r="F11" s="146">
        <f>[2]SWCU!J13</f>
        <v>23257.521241341125</v>
      </c>
      <c r="G11" s="146">
        <f>[2]SWCU!K13</f>
        <v>3186.3489449854446</v>
      </c>
      <c r="H11" s="146">
        <f>'[2]GW Depletions'!R18+'[2]GW Depletions'!S18</f>
        <v>10650.768444446558</v>
      </c>
      <c r="J11" s="78">
        <f t="shared" si="4"/>
        <v>42874.513434850945</v>
      </c>
      <c r="K11" s="155">
        <f>'[3]Req Inflow'!K10</f>
        <v>208689.93975331343</v>
      </c>
      <c r="L11" s="155">
        <f>'[3]Req Inflow'!L10</f>
        <v>208689.93975331343</v>
      </c>
      <c r="M11" s="43">
        <f t="shared" si="0"/>
        <v>251564.45318816439</v>
      </c>
      <c r="N11" s="43">
        <f t="shared" si="1"/>
        <v>251564.45318816439</v>
      </c>
      <c r="P11" s="111">
        <f>[2]SWDemand!P17</f>
        <v>36785.670900000026</v>
      </c>
      <c r="Q11" s="111">
        <f>[2]SWDemand!S17</f>
        <v>4902.8496899999991</v>
      </c>
      <c r="R11" s="73">
        <f>'[2]M&amp;I COHYST Summary'!C39</f>
        <v>1595.93</v>
      </c>
      <c r="S11" s="72">
        <f>MAX([2]GWCU!F15*0.3+[2]GWCU!G15*0.3,H11)</f>
        <v>14435.244329999983</v>
      </c>
      <c r="T11" s="72">
        <f>IF('[3]DS Demand'!O10&gt;0,'[3]DS Demand'!O10,0)</f>
        <v>111647.93489198486</v>
      </c>
      <c r="U11" s="72">
        <f>IF(92*3465&gt;('Lewellen_Irrigation Season'!E11+'Lewellen_Irrigation Season'!B11),('Lewellen_Irrigation Season'!E11+'Lewellen_Irrigation Season'!B11),92*3465)</f>
        <v>197741.24846480708</v>
      </c>
      <c r="V11" s="72">
        <f>MIN(92*3762-'SPlatte_Irrigation Season'!P11,U11)</f>
        <v>197741.24846480708</v>
      </c>
      <c r="W11" s="73">
        <f>'[2]Net SW Loss'!L16+'[2]Net SW Loss'!M16</f>
        <v>34265.65000065005</v>
      </c>
      <c r="X11" s="111">
        <f t="shared" si="5"/>
        <v>0</v>
      </c>
      <c r="Y11" s="111">
        <f t="shared" si="2"/>
        <v>40930.814804077934</v>
      </c>
      <c r="Z11" s="73">
        <f t="shared" si="6"/>
        <v>197741.24846480708</v>
      </c>
      <c r="AA11" s="73">
        <f t="shared" si="7"/>
        <v>197741.24846480708</v>
      </c>
      <c r="AB11" s="111">
        <f>'[2]Mac EOM '!F13</f>
        <v>0</v>
      </c>
      <c r="AC11" s="116"/>
      <c r="AD11" s="62">
        <f>H11+P11+Z11-MIN(AB11,P11+'[2]Net SW Loss'!L16)+R11+Q11+Y11+W11</f>
        <v>326872.93230398162</v>
      </c>
      <c r="AE11" s="62">
        <f>H11+P11+AA11-MIN(AB11,P11+'[2]Net SW Loss'!L16)+R11+Q11+Y11+W11</f>
        <v>326872.93230398162</v>
      </c>
      <c r="AF11" s="62">
        <f>S11+P11+Z11-MIN(AB11,P11+'[2]Net SW Loss'!L16)+R11+Q11+Y11+W11</f>
        <v>330657.40818953508</v>
      </c>
      <c r="AG11" s="62">
        <f>S11+P11+AA11-MIN(AB11,P11+'[2]Net SW Loss'!L16)+R11+Q11+Y11+W11</f>
        <v>330657.40818953508</v>
      </c>
      <c r="AH11" s="83"/>
      <c r="AI11" s="83"/>
      <c r="AJ11" s="62">
        <f t="shared" si="8"/>
        <v>-75308.47911581723</v>
      </c>
      <c r="AK11" s="62">
        <f t="shared" si="9"/>
        <v>-75308.47911581723</v>
      </c>
      <c r="AL11" s="62">
        <f t="shared" si="10"/>
        <v>-79092.95500137069</v>
      </c>
      <c r="AM11" s="62">
        <f t="shared" si="11"/>
        <v>-79092.95500137069</v>
      </c>
    </row>
    <row r="12" spans="1:39" x14ac:dyDescent="0.25">
      <c r="A12" s="38">
        <v>1992</v>
      </c>
      <c r="B12" s="146">
        <f>'[1]Capped Flow'!O11</f>
        <v>105314.21999999997</v>
      </c>
      <c r="C12" s="146">
        <f>'[1]Capped Flow'!P11</f>
        <v>123710.39999999995</v>
      </c>
      <c r="D12" s="146">
        <f t="shared" si="3"/>
        <v>18396.179999999978</v>
      </c>
      <c r="E12" s="146">
        <f>IF('[2]Reservoir Evap'!J15&gt;0, '[2]Reservoir Evap'!J15, 0)</f>
        <v>29580.937637742136</v>
      </c>
      <c r="F12" s="146">
        <f>[2]SWCU!J14</f>
        <v>12283.189912405996</v>
      </c>
      <c r="G12" s="146">
        <f>[2]SWCU!K14</f>
        <v>3061.4384384775626</v>
      </c>
      <c r="H12" s="146">
        <f>'[2]GW Depletions'!R19+'[2]GW Depletions'!S19</f>
        <v>9235.3700250250695</v>
      </c>
      <c r="J12" s="78">
        <f t="shared" si="4"/>
        <v>72557.116013650739</v>
      </c>
      <c r="K12" s="155">
        <f>'[3]Req Inflow'!K11</f>
        <v>130828.86885592283</v>
      </c>
      <c r="L12" s="155">
        <f>'[3]Req Inflow'!L11</f>
        <v>130828.86885592283</v>
      </c>
      <c r="M12" s="43">
        <f t="shared" si="0"/>
        <v>203385.98486957356</v>
      </c>
      <c r="N12" s="43">
        <f t="shared" si="1"/>
        <v>203385.98486957356</v>
      </c>
      <c r="P12" s="111">
        <f>[2]SWDemand!P18</f>
        <v>20053.416840000002</v>
      </c>
      <c r="Q12" s="111">
        <f>[2]SWDemand!S18</f>
        <v>4712.1818099999937</v>
      </c>
      <c r="R12" s="73">
        <f>'[2]M&amp;I COHYST Summary'!C40</f>
        <v>1603.47</v>
      </c>
      <c r="S12" s="72">
        <f>MAX([2]GWCU!F16*0.3+[2]GWCU!G16*0.3,H12)</f>
        <v>16186.77998750002</v>
      </c>
      <c r="T12" s="72">
        <f>IF('[3]DS Demand'!O11&gt;0,'[3]DS Demand'!O11,0)</f>
        <v>116439.10824375326</v>
      </c>
      <c r="U12" s="72">
        <f>IF(92*3465&gt;('Lewellen_Irrigation Season'!E12+'Lewellen_Irrigation Season'!B12),('Lewellen_Irrigation Season'!E12+'Lewellen_Irrigation Season'!B12),92*3465)</f>
        <v>143099.6470550964</v>
      </c>
      <c r="V12" s="72">
        <f>MIN(92*3762-'SPlatte_Irrigation Season'!P12,U12)</f>
        <v>143099.6470550964</v>
      </c>
      <c r="W12" s="73">
        <f>'[2]Net SW Loss'!L17+'[2]Net SW Loss'!M17</f>
        <v>34516.830000650116</v>
      </c>
      <c r="X12" s="111">
        <f t="shared" si="5"/>
        <v>58729.753159349886</v>
      </c>
      <c r="Y12" s="111">
        <f t="shared" si="2"/>
        <v>29580.937637742136</v>
      </c>
      <c r="Z12" s="73">
        <f t="shared" si="6"/>
        <v>143099.6470550964</v>
      </c>
      <c r="AA12" s="73">
        <f t="shared" si="7"/>
        <v>143099.6470550964</v>
      </c>
      <c r="AB12" s="111">
        <f>'[2]Mac EOM '!F14</f>
        <v>113300</v>
      </c>
      <c r="AC12" s="116"/>
      <c r="AD12" s="62">
        <f>H12+P12+Z12-MIN(AB12,P12+'[2]Net SW Loss'!L17)+R12+Q12+Y12+W12</f>
        <v>190781.27652786358</v>
      </c>
      <c r="AE12" s="62">
        <f>H12+P12+AA12-MIN(AB12,P12+'[2]Net SW Loss'!L17)+R12+Q12+Y12+W12</f>
        <v>190781.27652786358</v>
      </c>
      <c r="AF12" s="62">
        <f>S12+P12+Z12-MIN(AB12,P12+'[2]Net SW Loss'!L17)+R12+Q12+Y12+W12</f>
        <v>197732.68649033853</v>
      </c>
      <c r="AG12" s="62">
        <f>S12+P12+AA12-MIN(AB12,P12+'[2]Net SW Loss'!L17)+R12+Q12+Y12+W12</f>
        <v>197732.68649033853</v>
      </c>
      <c r="AH12" s="83"/>
      <c r="AI12" s="83"/>
      <c r="AJ12" s="62">
        <f t="shared" si="8"/>
        <v>12604.708341709978</v>
      </c>
      <c r="AK12" s="62">
        <f t="shared" si="9"/>
        <v>12604.708341709978</v>
      </c>
      <c r="AL12" s="62">
        <f t="shared" si="10"/>
        <v>5653.2983792350278</v>
      </c>
      <c r="AM12" s="62">
        <f t="shared" si="11"/>
        <v>5653.2983792350278</v>
      </c>
    </row>
    <row r="13" spans="1:39" x14ac:dyDescent="0.25">
      <c r="A13" s="38">
        <v>1993</v>
      </c>
      <c r="B13" s="146">
        <f>'[1]Capped Flow'!O12</f>
        <v>59126.759999999987</v>
      </c>
      <c r="C13" s="146">
        <f>'[1]Capped Flow'!P12</f>
        <v>87939.719999999987</v>
      </c>
      <c r="D13" s="146">
        <f t="shared" si="3"/>
        <v>28812.959999999999</v>
      </c>
      <c r="E13" s="146">
        <f>IF('[2]Reservoir Evap'!J16&gt;0, '[2]Reservoir Evap'!J16, 0)</f>
        <v>30919.404270175204</v>
      </c>
      <c r="F13" s="146">
        <f>[2]SWCU!J15</f>
        <v>10121.213855943601</v>
      </c>
      <c r="G13" s="146">
        <f>[2]SWCU!K15</f>
        <v>2444.2239509896926</v>
      </c>
      <c r="H13" s="146">
        <f>'[2]GW Depletions'!R20+'[2]GW Depletions'!S20</f>
        <v>9990.5049175870518</v>
      </c>
      <c r="J13" s="78">
        <f t="shared" si="4"/>
        <v>82288.306994695551</v>
      </c>
      <c r="K13" s="155">
        <f>'[3]Req Inflow'!K12</f>
        <v>185427.5112615184</v>
      </c>
      <c r="L13" s="155">
        <f>'[3]Req Inflow'!L12</f>
        <v>185427.5112615184</v>
      </c>
      <c r="M13" s="43">
        <f t="shared" si="0"/>
        <v>267715.81825621397</v>
      </c>
      <c r="N13" s="43">
        <f t="shared" si="1"/>
        <v>267715.81825621397</v>
      </c>
      <c r="P13" s="111">
        <f>[2]SWDemand!P19</f>
        <v>16765.720770000007</v>
      </c>
      <c r="Q13" s="111">
        <f>[2]SWDemand!S19</f>
        <v>3761.8560000000025</v>
      </c>
      <c r="R13" s="73">
        <f>'[2]M&amp;I COHYST Summary'!C41</f>
        <v>1617.76</v>
      </c>
      <c r="S13" s="72">
        <f>MAX([2]GWCU!F17*0.3+[2]GWCU!G17*0.3,H13)</f>
        <v>13156.723135000002</v>
      </c>
      <c r="T13" s="72">
        <f>IF('[3]DS Demand'!O12&gt;0,'[3]DS Demand'!O12,0)</f>
        <v>24071.985498888356</v>
      </c>
      <c r="U13" s="72">
        <f>IF(92*3465&gt;('Lewellen_Irrigation Season'!E13+'Lewellen_Irrigation Season'!B13),('Lewellen_Irrigation Season'!E13+'Lewellen_Irrigation Season'!B13),92*3465)</f>
        <v>207985.1012531681</v>
      </c>
      <c r="V13" s="72">
        <f>MIN(92*3762-'SPlatte_Irrigation Season'!P13,U13)</f>
        <v>207985.1012531681</v>
      </c>
      <c r="W13" s="73">
        <f>'[2]Net SW Loss'!L18+'[2]Net SW Loss'!M18</f>
        <v>34455.340000650111</v>
      </c>
      <c r="X13" s="111">
        <f t="shared" si="5"/>
        <v>278978.9392293499</v>
      </c>
      <c r="Y13" s="111">
        <f t="shared" si="2"/>
        <v>30919.404270175204</v>
      </c>
      <c r="Z13" s="73">
        <f t="shared" si="6"/>
        <v>207985.1012531681</v>
      </c>
      <c r="AA13" s="73">
        <f t="shared" si="7"/>
        <v>207985.1012531681</v>
      </c>
      <c r="AB13" s="111">
        <f>'[2]Mac EOM '!F15</f>
        <v>330200</v>
      </c>
      <c r="AC13" s="116"/>
      <c r="AD13" s="62">
        <f>H13+P13+Z13-MIN(AB13,P13+'[2]Net SW Loss'!L18)+R13+Q13+Y13+W13</f>
        <v>256824.29644093037</v>
      </c>
      <c r="AE13" s="62">
        <f>H13+P13+AA13-MIN(AB13,P13+'[2]Net SW Loss'!L18)+R13+Q13+Y13+W13</f>
        <v>256824.29644093037</v>
      </c>
      <c r="AF13" s="62">
        <f>S13+P13+Z13-MIN(AB13,P13+'[2]Net SW Loss'!L18)+R13+Q13+Y13+W13</f>
        <v>259990.51465834334</v>
      </c>
      <c r="AG13" s="62">
        <f>S13+P13+AA13-MIN(AB13,P13+'[2]Net SW Loss'!L18)+R13+Q13+Y13+W13</f>
        <v>259990.51465834334</v>
      </c>
      <c r="AH13" s="83"/>
      <c r="AI13" s="83"/>
      <c r="AJ13" s="62">
        <f t="shared" si="8"/>
        <v>10891.521815283602</v>
      </c>
      <c r="AK13" s="62">
        <f t="shared" si="9"/>
        <v>10891.521815283602</v>
      </c>
      <c r="AL13" s="62">
        <f t="shared" si="10"/>
        <v>7725.3035978706321</v>
      </c>
      <c r="AM13" s="62">
        <f t="shared" si="11"/>
        <v>7725.3035978706321</v>
      </c>
    </row>
    <row r="14" spans="1:39" x14ac:dyDescent="0.25">
      <c r="A14" s="38">
        <v>1994</v>
      </c>
      <c r="B14" s="146">
        <f>'[1]Capped Flow'!O13</f>
        <v>178297.02</v>
      </c>
      <c r="C14" s="146">
        <f>'[1]Capped Flow'!P13</f>
        <v>168430.68000000005</v>
      </c>
      <c r="D14" s="146">
        <f t="shared" si="3"/>
        <v>-9866.3399999999383</v>
      </c>
      <c r="E14" s="146">
        <f>IF('[2]Reservoir Evap'!J17&gt;0, '[2]Reservoir Evap'!J17, 0)</f>
        <v>45062.96885701274</v>
      </c>
      <c r="F14" s="146">
        <f>[2]SWCU!J16</f>
        <v>18146.087738983013</v>
      </c>
      <c r="G14" s="146">
        <f>[2]SWCU!K16</f>
        <v>3248.9406495000007</v>
      </c>
      <c r="H14" s="146">
        <f>'[2]GW Depletions'!R21+'[2]GW Depletions'!S21</f>
        <v>10581.271814167194</v>
      </c>
      <c r="J14" s="78">
        <f t="shared" si="4"/>
        <v>67172.929059663002</v>
      </c>
      <c r="K14" s="155">
        <f>'[3]Req Inflow'!K13</f>
        <v>182010.40901446485</v>
      </c>
      <c r="L14" s="155">
        <f>'[3]Req Inflow'!L13</f>
        <v>182010.40901446485</v>
      </c>
      <c r="M14" s="43">
        <f t="shared" si="0"/>
        <v>249183.33807412785</v>
      </c>
      <c r="N14" s="43">
        <f t="shared" si="1"/>
        <v>249183.33807412785</v>
      </c>
      <c r="P14" s="111">
        <f>[2]SWDemand!P20</f>
        <v>28844.683980000005</v>
      </c>
      <c r="Q14" s="111">
        <f>[2]SWDemand!S20</f>
        <v>5000.1615900000006</v>
      </c>
      <c r="R14" s="73">
        <f>'[2]M&amp;I COHYST Summary'!C42</f>
        <v>1847.1000000000001</v>
      </c>
      <c r="S14" s="72">
        <f>MAX([2]GWCU!F18*0.3+[2]GWCU!G18*0.3,H14)</f>
        <v>16595.152277500005</v>
      </c>
      <c r="T14" s="72">
        <f>IF('[3]DS Demand'!O13&gt;0,'[3]DS Demand'!O13,0)</f>
        <v>137944.32072003311</v>
      </c>
      <c r="U14" s="72">
        <f>IF(92*3465&gt;('Lewellen_Irrigation Season'!E14+'Lewellen_Irrigation Season'!B14),('Lewellen_Irrigation Season'!E14+'Lewellen_Irrigation Season'!B14),92*3465)</f>
        <v>178289.4576196511</v>
      </c>
      <c r="V14" s="72">
        <f>MIN(92*3762-'SPlatte_Irrigation Season'!P14,U14)</f>
        <v>178289.4576196511</v>
      </c>
      <c r="W14" s="73">
        <f>'[2]Net SW Loss'!L19+'[2]Net SW Loss'!M19</f>
        <v>34573.10000065012</v>
      </c>
      <c r="X14" s="111">
        <f t="shared" si="5"/>
        <v>0</v>
      </c>
      <c r="Y14" s="111">
        <f t="shared" si="2"/>
        <v>45062.96885701274</v>
      </c>
      <c r="Z14" s="73">
        <f t="shared" si="6"/>
        <v>178289.4576196511</v>
      </c>
      <c r="AA14" s="73">
        <f t="shared" si="7"/>
        <v>178289.4576196511</v>
      </c>
      <c r="AB14" s="111">
        <f>'[2]Mac EOM '!F16</f>
        <v>0</v>
      </c>
      <c r="AC14" s="116"/>
      <c r="AD14" s="62">
        <f>H14+P14+Z14-MIN(AB14,P14+'[2]Net SW Loss'!L19)+R14+Q14+Y14+W14</f>
        <v>304198.74386148114</v>
      </c>
      <c r="AE14" s="62">
        <f>H14+P14+AA14-MIN(AB14,P14+'[2]Net SW Loss'!L19)+R14+Q14+Y14+W14</f>
        <v>304198.74386148114</v>
      </c>
      <c r="AF14" s="62">
        <f>S14+P14+Z14-MIN(AB14,P14+'[2]Net SW Loss'!L19)+R14+Q14+Y14+W14</f>
        <v>310212.62432481395</v>
      </c>
      <c r="AG14" s="62">
        <f>S14+P14+AA14-MIN(AB14,P14+'[2]Net SW Loss'!L19)+R14+Q14+Y14+W14</f>
        <v>310212.62432481395</v>
      </c>
      <c r="AH14" s="83"/>
      <c r="AI14" s="83"/>
      <c r="AJ14" s="62">
        <f t="shared" si="8"/>
        <v>-55015.405787353287</v>
      </c>
      <c r="AK14" s="62">
        <f t="shared" si="9"/>
        <v>-55015.405787353287</v>
      </c>
      <c r="AL14" s="62">
        <f t="shared" si="10"/>
        <v>-61029.286250686098</v>
      </c>
      <c r="AM14" s="62">
        <f t="shared" si="11"/>
        <v>-61029.286250686098</v>
      </c>
    </row>
    <row r="15" spans="1:39" x14ac:dyDescent="0.25">
      <c r="A15" s="38">
        <v>1995</v>
      </c>
      <c r="B15" s="146">
        <f>'[1]Capped Flow'!O14</f>
        <v>259229.51999999987</v>
      </c>
      <c r="C15" s="146">
        <f>'[1]Capped Flow'!P14</f>
        <v>237144.59999999989</v>
      </c>
      <c r="D15" s="146">
        <f t="shared" si="3"/>
        <v>-22084.919999999984</v>
      </c>
      <c r="E15" s="146">
        <f>IF('[2]Reservoir Evap'!J18&gt;0, '[2]Reservoir Evap'!J18, 0)</f>
        <v>41784.883704788612</v>
      </c>
      <c r="F15" s="146">
        <f>[2]SWCU!J17</f>
        <v>22171.454194843242</v>
      </c>
      <c r="G15" s="146">
        <f>[2]SWCU!K17</f>
        <v>3239.6134485885423</v>
      </c>
      <c r="H15" s="146">
        <f>'[2]GW Depletions'!R22+'[2]GW Depletions'!S22</f>
        <v>10948.369400715887</v>
      </c>
      <c r="J15" s="78">
        <f t="shared" si="4"/>
        <v>56059.400748936292</v>
      </c>
      <c r="K15" s="155">
        <f>'[3]Req Inflow'!K14</f>
        <v>328188.42475991161</v>
      </c>
      <c r="L15" s="155">
        <f>'[3]Req Inflow'!L14</f>
        <v>212126.20043013262</v>
      </c>
      <c r="M15" s="43">
        <f t="shared" si="0"/>
        <v>384247.82550884789</v>
      </c>
      <c r="N15" s="43">
        <f t="shared" si="1"/>
        <v>268185.60117906891</v>
      </c>
      <c r="P15" s="111">
        <f>[2]SWDemand!P21</f>
        <v>34740.721499999985</v>
      </c>
      <c r="Q15" s="111">
        <f>[2]SWDemand!S21</f>
        <v>4985.746739999996</v>
      </c>
      <c r="R15" s="73">
        <f>'[2]M&amp;I COHYST Summary'!C43</f>
        <v>1853.8299999999997</v>
      </c>
      <c r="S15" s="72">
        <f>MAX([2]GWCU!F19*0.3+[2]GWCU!G19*0.3,H15)</f>
        <v>14011.54203749999</v>
      </c>
      <c r="T15" s="72">
        <f>IF('[3]DS Demand'!O14&gt;0,'[3]DS Demand'!O14,0)</f>
        <v>22358.843906774491</v>
      </c>
      <c r="U15" s="72">
        <f>IF(92*3465&gt;('Lewellen_Irrigation Season'!E15+'Lewellen_Irrigation Season'!B15),('Lewellen_Irrigation Season'!E15+'Lewellen_Irrigation Season'!B15),92*3465)</f>
        <v>318780</v>
      </c>
      <c r="V15" s="72">
        <f>MIN(92*3762-'SPlatte_Irrigation Season'!P15,U15)</f>
        <v>191268</v>
      </c>
      <c r="W15" s="73">
        <f>'[2]Net SW Loss'!L20+'[2]Net SW Loss'!M20</f>
        <v>34122.840000070115</v>
      </c>
      <c r="X15" s="111">
        <f t="shared" si="5"/>
        <v>213636.43849992991</v>
      </c>
      <c r="Y15" s="111">
        <f t="shared" si="2"/>
        <v>41784.883704788612</v>
      </c>
      <c r="Z15" s="73">
        <f t="shared" si="6"/>
        <v>318780</v>
      </c>
      <c r="AA15" s="73">
        <f t="shared" si="7"/>
        <v>191268</v>
      </c>
      <c r="AB15" s="111">
        <f>'[2]Mac EOM '!F17</f>
        <v>282500</v>
      </c>
      <c r="AC15" s="116"/>
      <c r="AD15" s="62">
        <f>H15+P15+Z15-MIN(AB15,P15+'[2]Net SW Loss'!L20)+R15+Q15+Y15+W15</f>
        <v>380897.2798455045</v>
      </c>
      <c r="AE15" s="62">
        <f>H15+P15+AA15-MIN(AB15,P15+'[2]Net SW Loss'!L20)+R15+Q15+Y15+W15</f>
        <v>253385.27984550447</v>
      </c>
      <c r="AF15" s="62">
        <f>S15+P15+Z15-MIN(AB15,P15+'[2]Net SW Loss'!L20)+R15+Q15+Y15+W15</f>
        <v>383960.45248228865</v>
      </c>
      <c r="AG15" s="62">
        <f>S15+P15+AA15-MIN(AB15,P15+'[2]Net SW Loss'!L20)+R15+Q15+Y15+W15</f>
        <v>256448.45248228856</v>
      </c>
      <c r="AH15" s="83"/>
      <c r="AI15" s="83"/>
      <c r="AJ15" s="62">
        <f t="shared" si="8"/>
        <v>3350.5456633433932</v>
      </c>
      <c r="AK15" s="62">
        <f t="shared" si="9"/>
        <v>14800.32133356444</v>
      </c>
      <c r="AL15" s="62">
        <f t="shared" si="10"/>
        <v>287.37302655924577</v>
      </c>
      <c r="AM15" s="62">
        <f t="shared" si="11"/>
        <v>11737.14869678035</v>
      </c>
    </row>
    <row r="16" spans="1:39" x14ac:dyDescent="0.25">
      <c r="A16" s="38">
        <v>1996</v>
      </c>
      <c r="B16" s="146">
        <f>'[1]Capped Flow'!O15</f>
        <v>167452.55999999988</v>
      </c>
      <c r="C16" s="146">
        <f>'[1]Capped Flow'!P15</f>
        <v>174738.95999999993</v>
      </c>
      <c r="D16" s="146">
        <f t="shared" si="3"/>
        <v>7286.4000000000524</v>
      </c>
      <c r="E16" s="146">
        <f>IF('[2]Reservoir Evap'!J19&gt;0, '[2]Reservoir Evap'!J19, 0)</f>
        <v>45997.627051424162</v>
      </c>
      <c r="F16" s="146">
        <f>[2]SWCU!J18</f>
        <v>12892.678226974514</v>
      </c>
      <c r="G16" s="146">
        <f>[2]SWCU!K18</f>
        <v>2587.4977635006107</v>
      </c>
      <c r="H16" s="146">
        <f>'[2]GW Depletions'!R23+'[2]GW Depletions'!S23</f>
        <v>10240.644330122199</v>
      </c>
      <c r="J16" s="78">
        <f t="shared" si="4"/>
        <v>79004.847372021541</v>
      </c>
      <c r="K16" s="155">
        <f>'[3]Req Inflow'!K15</f>
        <v>308497.08366442338</v>
      </c>
      <c r="L16" s="155">
        <f>'[3]Req Inflow'!L15</f>
        <v>235746.1476520673</v>
      </c>
      <c r="M16" s="43">
        <f t="shared" si="0"/>
        <v>387501.9310364449</v>
      </c>
      <c r="N16" s="43">
        <f t="shared" si="1"/>
        <v>314750.99502408883</v>
      </c>
      <c r="P16" s="111">
        <f>[2]SWDemand!P22</f>
        <v>20491.590960000016</v>
      </c>
      <c r="Q16" s="111">
        <f>[2]SWDemand!S22</f>
        <v>3982.5011699999973</v>
      </c>
      <c r="R16" s="73">
        <f>'[2]M&amp;I COHYST Summary'!C44</f>
        <v>1861.6500000000003</v>
      </c>
      <c r="S16" s="72">
        <f>MAX([2]GWCU!F20*0.3+[2]GWCU!G20*0.3,H16)</f>
        <v>13924.718352500004</v>
      </c>
      <c r="T16" s="72">
        <f>IF('[3]DS Demand'!O15&gt;0,'[3]DS Demand'!O15,0)</f>
        <v>79612.248485483928</v>
      </c>
      <c r="U16" s="72">
        <f>IF(92*3465&gt;('Lewellen_Irrigation Season'!E16+'Lewellen_Irrigation Season'!B16),('Lewellen_Irrigation Season'!E16+'Lewellen_Irrigation Season'!B16),92*3465)</f>
        <v>318780</v>
      </c>
      <c r="V16" s="72">
        <f>MIN(92*3762-'SPlatte_Irrigation Season'!P16,U16)</f>
        <v>232756.77576354455</v>
      </c>
      <c r="W16" s="73">
        <f>'[2]Net SW Loss'!L21+'[2]Net SW Loss'!M21</f>
        <v>34209.380000650119</v>
      </c>
      <c r="X16" s="111">
        <f t="shared" si="5"/>
        <v>0</v>
      </c>
      <c r="Y16" s="111">
        <f t="shared" si="2"/>
        <v>45997.627051424162</v>
      </c>
      <c r="Z16" s="73">
        <f t="shared" si="6"/>
        <v>318780</v>
      </c>
      <c r="AA16" s="73">
        <f t="shared" si="7"/>
        <v>232756.77576354455</v>
      </c>
      <c r="AB16" s="111">
        <f>'[2]Mac EOM '!F18</f>
        <v>0</v>
      </c>
      <c r="AC16" s="116"/>
      <c r="AD16" s="62">
        <f>H16+P16+Z16-MIN(AB16,P16+'[2]Net SW Loss'!L21)+R16+Q16+Y16+W16</f>
        <v>435563.39351219655</v>
      </c>
      <c r="AE16" s="62">
        <f>H16+P16+AA16-MIN(AB16,P16+'[2]Net SW Loss'!L21)+R16+Q16+Y16+W16</f>
        <v>349540.16927574109</v>
      </c>
      <c r="AF16" s="62">
        <f>S16+P16+Z16-MIN(AB16,P16+'[2]Net SW Loss'!L21)+R16+Q16+Y16+W16</f>
        <v>439247.46753457433</v>
      </c>
      <c r="AG16" s="62">
        <f>S16+P16+AA16-MIN(AB16,P16+'[2]Net SW Loss'!L21)+R16+Q16+Y16+W16</f>
        <v>353224.24329811888</v>
      </c>
      <c r="AH16" s="83"/>
      <c r="AI16" s="83"/>
      <c r="AJ16" s="62">
        <f t="shared" si="8"/>
        <v>-48061.462475751643</v>
      </c>
      <c r="AK16" s="62">
        <f t="shared" si="9"/>
        <v>-34789.174251652265</v>
      </c>
      <c r="AL16" s="62">
        <f t="shared" si="10"/>
        <v>-51745.536498129426</v>
      </c>
      <c r="AM16" s="62">
        <f t="shared" si="11"/>
        <v>-38473.248274030047</v>
      </c>
    </row>
    <row r="17" spans="1:39" x14ac:dyDescent="0.25">
      <c r="A17" s="38">
        <v>1997</v>
      </c>
      <c r="B17" s="146">
        <f>'[1]Capped Flow'!O16</f>
        <v>232299.5400000001</v>
      </c>
      <c r="C17" s="146">
        <f>'[1]Capped Flow'!P16</f>
        <v>218556.36000000004</v>
      </c>
      <c r="D17" s="146">
        <f t="shared" si="3"/>
        <v>-13743.180000000051</v>
      </c>
      <c r="E17" s="146">
        <f>IF('[2]Reservoir Evap'!J20&gt;0, '[2]Reservoir Evap'!J20, 0)</f>
        <v>41997.891012634987</v>
      </c>
      <c r="F17" s="146">
        <f>[2]SWCU!J19</f>
        <v>20483.497651442394</v>
      </c>
      <c r="G17" s="146">
        <f>[2]SWCU!K19</f>
        <v>3396.6354825885464</v>
      </c>
      <c r="H17" s="146">
        <f>'[2]GW Depletions'!R24+'[2]GW Depletions'!S24</f>
        <v>9900.2278632941252</v>
      </c>
      <c r="J17" s="78">
        <f t="shared" si="4"/>
        <v>62035.072009960008</v>
      </c>
      <c r="K17" s="155">
        <f>'[3]Req Inflow'!K16</f>
        <v>329913.0523639358</v>
      </c>
      <c r="L17" s="155">
        <f>'[3]Req Inflow'!L16</f>
        <v>213309.80648610872</v>
      </c>
      <c r="M17" s="43">
        <f t="shared" si="0"/>
        <v>391948.12437389581</v>
      </c>
      <c r="N17" s="43">
        <f t="shared" si="1"/>
        <v>275344.8784960687</v>
      </c>
      <c r="P17" s="111">
        <f>[2]SWDemand!P23</f>
        <v>31767.782309999995</v>
      </c>
      <c r="Q17" s="111">
        <f>[2]SWDemand!S23</f>
        <v>5228.2800899999993</v>
      </c>
      <c r="R17" s="73">
        <f>'[2]M&amp;I COHYST Summary'!C45</f>
        <v>1868.5000000000005</v>
      </c>
      <c r="S17" s="72">
        <f>MAX([2]GWCU!F21*0.3+[2]GWCU!G21*0.3,H17)</f>
        <v>16687.608272499994</v>
      </c>
      <c r="T17" s="72">
        <f>IF('[3]DS Demand'!O16&gt;0,'[3]DS Demand'!O16,0)</f>
        <v>33354.188725619002</v>
      </c>
      <c r="U17" s="72">
        <f>IF(92*3465&gt;('Lewellen_Irrigation Season'!E17+'Lewellen_Irrigation Season'!B17),('Lewellen_Irrigation Season'!E17+'Lewellen_Irrigation Season'!B17),92*3465)</f>
        <v>318780</v>
      </c>
      <c r="V17" s="72">
        <f>MIN(92*3762-'SPlatte_Irrigation Season'!P17,U17)</f>
        <v>191268</v>
      </c>
      <c r="W17" s="73">
        <f>'[2]Net SW Loss'!L22+'[2]Net SW Loss'!M22</f>
        <v>34568.400000650036</v>
      </c>
      <c r="X17" s="111">
        <f t="shared" si="5"/>
        <v>162963.81768934996</v>
      </c>
      <c r="Y17" s="111">
        <f t="shared" si="2"/>
        <v>41997.891012634987</v>
      </c>
      <c r="Z17" s="73">
        <f t="shared" si="6"/>
        <v>318780</v>
      </c>
      <c r="AA17" s="73">
        <f t="shared" si="7"/>
        <v>191268</v>
      </c>
      <c r="AB17" s="111">
        <f>'[2]Mac EOM '!F19</f>
        <v>229300</v>
      </c>
      <c r="AC17" s="116"/>
      <c r="AD17" s="62">
        <f>H17+P17+Z17-MIN(AB17,P17+'[2]Net SW Loss'!L22)+R17+Q17+Y17+W17</f>
        <v>380324.56896592909</v>
      </c>
      <c r="AE17" s="62">
        <f>H17+P17+AA17-MIN(AB17,P17+'[2]Net SW Loss'!L22)+R17+Q17+Y17+W17</f>
        <v>252812.56896592909</v>
      </c>
      <c r="AF17" s="62">
        <f>S17+P17+Z17-MIN(AB17,P17+'[2]Net SW Loss'!L22)+R17+Q17+Y17+W17</f>
        <v>387111.94937513495</v>
      </c>
      <c r="AG17" s="62">
        <f>S17+P17+AA17-MIN(AB17,P17+'[2]Net SW Loss'!L22)+R17+Q17+Y17+W17</f>
        <v>259599.94937513498</v>
      </c>
      <c r="AH17" s="83"/>
      <c r="AI17" s="83"/>
      <c r="AJ17" s="62">
        <f t="shared" si="8"/>
        <v>11623.55540796672</v>
      </c>
      <c r="AK17" s="62">
        <f t="shared" si="9"/>
        <v>22532.30953013961</v>
      </c>
      <c r="AL17" s="62">
        <f t="shared" si="10"/>
        <v>4836.1749987608637</v>
      </c>
      <c r="AM17" s="62">
        <f t="shared" si="11"/>
        <v>15744.929120933724</v>
      </c>
    </row>
    <row r="18" spans="1:39" x14ac:dyDescent="0.25">
      <c r="A18" s="38">
        <v>1998</v>
      </c>
      <c r="B18" s="146">
        <f>'[1]Capped Flow'!O17</f>
        <v>222934.13999999987</v>
      </c>
      <c r="C18" s="146">
        <f>'[1]Capped Flow'!P17</f>
        <v>223411.32000000007</v>
      </c>
      <c r="D18" s="146">
        <f t="shared" si="3"/>
        <v>477.18000000019674</v>
      </c>
      <c r="E18" s="146">
        <f>IF('[2]Reservoir Evap'!J21&gt;0, '[2]Reservoir Evap'!J21, 0)</f>
        <v>41305.071759872233</v>
      </c>
      <c r="F18" s="146">
        <f>[2]SWCU!J20</f>
        <v>15463.134745440571</v>
      </c>
      <c r="G18" s="146">
        <f>[2]SWCU!K20</f>
        <v>2808.0211769727116</v>
      </c>
      <c r="H18" s="146">
        <f>'[2]GW Depletions'!R25+'[2]GW Depletions'!S25</f>
        <v>10514.199511251676</v>
      </c>
      <c r="J18" s="78">
        <f t="shared" si="4"/>
        <v>70567.607193537391</v>
      </c>
      <c r="K18" s="155">
        <f>'[3]Req Inflow'!K17</f>
        <v>205393.45675753927</v>
      </c>
      <c r="L18" s="155">
        <f>'[3]Req Inflow'!L17</f>
        <v>190193.08009756173</v>
      </c>
      <c r="M18" s="43">
        <f t="shared" si="0"/>
        <v>275961.06395107665</v>
      </c>
      <c r="N18" s="43">
        <f t="shared" si="1"/>
        <v>260760.68729109911</v>
      </c>
      <c r="P18" s="111">
        <f>[2]SWDemand!P24</f>
        <v>23930.237099999995</v>
      </c>
      <c r="Q18" s="111">
        <f>[2]SWDemand!S24</f>
        <v>4321.1055299999998</v>
      </c>
      <c r="R18" s="73">
        <f>'[2]M&amp;I COHYST Summary'!C46</f>
        <v>2043.3700000000001</v>
      </c>
      <c r="S18" s="72">
        <f>MAX([2]GWCU!F22*0.3+[2]GWCU!G22*0.3,H18)</f>
        <v>14517.162500000009</v>
      </c>
      <c r="T18" s="72">
        <f>IF('[3]DS Demand'!O17&gt;0,'[3]DS Demand'!O17,0)</f>
        <v>116503.1339307571</v>
      </c>
      <c r="U18" s="72">
        <f>IF(92*3465&gt;('Lewellen_Irrigation Season'!E18+'Lewellen_Irrigation Season'!B18),('Lewellen_Irrigation Season'!E18+'Lewellen_Irrigation Season'!B18),92*3465)</f>
        <v>210583.39057961662</v>
      </c>
      <c r="V18" s="72">
        <f>MIN(92*3762-'SPlatte_Irrigation Season'!P18,U18)</f>
        <v>191942.09808516986</v>
      </c>
      <c r="W18" s="73">
        <f>'[2]Net SW Loss'!L23+'[2]Net SW Loss'!M23</f>
        <v>34634.59000065006</v>
      </c>
      <c r="X18" s="111">
        <f t="shared" si="5"/>
        <v>0</v>
      </c>
      <c r="Y18" s="111">
        <f t="shared" si="2"/>
        <v>41305.071759872233</v>
      </c>
      <c r="Z18" s="73">
        <f t="shared" si="6"/>
        <v>210583.39057961662</v>
      </c>
      <c r="AA18" s="73">
        <f t="shared" si="7"/>
        <v>191942.09808516986</v>
      </c>
      <c r="AB18" s="111">
        <f>'[2]Mac EOM '!F20</f>
        <v>0</v>
      </c>
      <c r="AC18" s="116"/>
      <c r="AD18" s="62">
        <f>H18+P18+Z18-MIN(AB18,P18+'[2]Net SW Loss'!L23)+R18+Q18+Y18+W18</f>
        <v>327331.96448139055</v>
      </c>
      <c r="AE18" s="62">
        <f>H18+P18+AA18-MIN(AB18,P18+'[2]Net SW Loss'!L23)+R18+Q18+Y18+W18</f>
        <v>308690.67198694381</v>
      </c>
      <c r="AF18" s="62">
        <f>S18+P18+Z18-MIN(AB18,P18+'[2]Net SW Loss'!L23)+R18+Q18+Y18+W18</f>
        <v>331334.92747013888</v>
      </c>
      <c r="AG18" s="62">
        <f>S18+P18+AA18-MIN(AB18,P18+'[2]Net SW Loss'!L23)+R18+Q18+Y18+W18</f>
        <v>312693.63497569214</v>
      </c>
      <c r="AH18" s="83"/>
      <c r="AI18" s="83"/>
      <c r="AJ18" s="62">
        <f t="shared" si="8"/>
        <v>-51370.900530313898</v>
      </c>
      <c r="AK18" s="62">
        <f t="shared" si="9"/>
        <v>-47929.984695844701</v>
      </c>
      <c r="AL18" s="62">
        <f t="shared" si="10"/>
        <v>-55373.86351906223</v>
      </c>
      <c r="AM18" s="62">
        <f t="shared" si="11"/>
        <v>-51932.947684593033</v>
      </c>
    </row>
    <row r="19" spans="1:39" x14ac:dyDescent="0.25">
      <c r="A19" s="38">
        <v>1999</v>
      </c>
      <c r="B19" s="146">
        <f>'[1]Capped Flow'!O18</f>
        <v>192356.99999999994</v>
      </c>
      <c r="C19" s="146">
        <f>'[1]Capped Flow'!P18</f>
        <v>186692.21999999997</v>
      </c>
      <c r="D19" s="146">
        <f t="shared" si="3"/>
        <v>-5664.7799999999697</v>
      </c>
      <c r="E19" s="146">
        <f>IF('[2]Reservoir Evap'!J22&gt;0, '[2]Reservoir Evap'!J22, 0)</f>
        <v>34071.739698589401</v>
      </c>
      <c r="F19" s="146">
        <f>[2]SWCU!J21</f>
        <v>15123.195262369018</v>
      </c>
      <c r="G19" s="146">
        <f>[2]SWCU!K21</f>
        <v>3301.7988315297189</v>
      </c>
      <c r="H19" s="146">
        <f>'[2]GW Depletions'!R26+'[2]GW Depletions'!S26</f>
        <v>10600.7937573497</v>
      </c>
      <c r="J19" s="78">
        <f t="shared" si="4"/>
        <v>57432.747549837863</v>
      </c>
      <c r="K19" s="155">
        <f>'[3]Req Inflow'!K18</f>
        <v>324726.77389892004</v>
      </c>
      <c r="L19" s="155">
        <f>'[3]Req Inflow'!L18</f>
        <v>207378.44956085921</v>
      </c>
      <c r="M19" s="43">
        <f t="shared" si="0"/>
        <v>382159.52144875791</v>
      </c>
      <c r="N19" s="43">
        <f t="shared" si="1"/>
        <v>264811.19711069704</v>
      </c>
      <c r="P19" s="111">
        <f>[2]SWDemand!P25</f>
        <v>24027.035850000011</v>
      </c>
      <c r="Q19" s="111">
        <f>[2]SWDemand!S25</f>
        <v>5080.8847500000002</v>
      </c>
      <c r="R19" s="73">
        <f>'[2]M&amp;I COHYST Summary'!C47</f>
        <v>2053.1800000000003</v>
      </c>
      <c r="S19" s="72">
        <f>MAX([2]GWCU!F23*0.3+[2]GWCU!G23*0.3,H19)</f>
        <v>15712.318839999985</v>
      </c>
      <c r="T19" s="72">
        <f>IF('[3]DS Demand'!O18&gt;0,'[3]DS Demand'!O18,0)</f>
        <v>24085.456682562242</v>
      </c>
      <c r="U19" s="72">
        <f>IF(92*3465&gt;('Lewellen_Irrigation Season'!E19+'Lewellen_Irrigation Season'!B19),('Lewellen_Irrigation Season'!E19+'Lewellen_Irrigation Season'!B19),92*3465)</f>
        <v>318780</v>
      </c>
      <c r="V19" s="72">
        <f>MIN(92*3762-'SPlatte_Irrigation Season'!P19,U19)</f>
        <v>191268</v>
      </c>
      <c r="W19" s="73">
        <f>'[2]Net SW Loss'!L24+'[2]Net SW Loss'!M24</f>
        <v>34208.400000650057</v>
      </c>
      <c r="X19" s="111">
        <f t="shared" si="5"/>
        <v>184564.56414934993</v>
      </c>
      <c r="Y19" s="111">
        <f t="shared" si="2"/>
        <v>34071.739698589401</v>
      </c>
      <c r="Z19" s="73">
        <f t="shared" si="6"/>
        <v>318780</v>
      </c>
      <c r="AA19" s="73">
        <f t="shared" si="7"/>
        <v>191268</v>
      </c>
      <c r="AB19" s="111">
        <f>'[2]Mac EOM '!F21</f>
        <v>242800</v>
      </c>
      <c r="AC19" s="116"/>
      <c r="AD19" s="62">
        <f>H19+P19+Z19-MIN(AB19,P19+'[2]Net SW Loss'!L24)+R19+Q19+Y19+W19</f>
        <v>373131.04820593912</v>
      </c>
      <c r="AE19" s="62">
        <f>H19+P19+AA19-MIN(AB19,P19+'[2]Net SW Loss'!L24)+R19+Q19+Y19+W19</f>
        <v>245619.04820593909</v>
      </c>
      <c r="AF19" s="62">
        <f>S19+P19+Z19-MIN(AB19,P19+'[2]Net SW Loss'!L24)+R19+Q19+Y19+W19</f>
        <v>378242.57328858948</v>
      </c>
      <c r="AG19" s="62">
        <f>S19+P19+AA19-MIN(AB19,P19+'[2]Net SW Loss'!L24)+R19+Q19+Y19+W19</f>
        <v>250730.5732885894</v>
      </c>
      <c r="AH19" s="83"/>
      <c r="AI19" s="83"/>
      <c r="AJ19" s="62">
        <f t="shared" si="8"/>
        <v>9028.4732428187854</v>
      </c>
      <c r="AK19" s="62">
        <f t="shared" si="9"/>
        <v>19192.148904757953</v>
      </c>
      <c r="AL19" s="62">
        <f t="shared" si="10"/>
        <v>3916.9481601684238</v>
      </c>
      <c r="AM19" s="62">
        <f t="shared" si="11"/>
        <v>14080.623822107649</v>
      </c>
    </row>
    <row r="20" spans="1:39" x14ac:dyDescent="0.25">
      <c r="A20" s="38">
        <v>2000</v>
      </c>
      <c r="B20" s="146">
        <f>'[1]Capped Flow'!O19</f>
        <v>331319.33999999962</v>
      </c>
      <c r="C20" s="146">
        <f>'[1]Capped Flow'!P19</f>
        <v>280237.32</v>
      </c>
      <c r="D20" s="146">
        <f t="shared" si="3"/>
        <v>-51082.019999999611</v>
      </c>
      <c r="E20" s="146">
        <f>IF('[2]Reservoir Evap'!J23&gt;0, '[2]Reservoir Evap'!J23, 0)</f>
        <v>50445.506213136025</v>
      </c>
      <c r="F20" s="146">
        <f>[2]SWCU!J22</f>
        <v>25693.327666709847</v>
      </c>
      <c r="G20" s="146">
        <f>[2]SWCU!K22</f>
        <v>3778.3593705048538</v>
      </c>
      <c r="H20" s="146">
        <f>'[2]GW Depletions'!R27+'[2]GW Depletions'!S27</f>
        <v>11123.836039259022</v>
      </c>
      <c r="J20" s="78">
        <f t="shared" si="4"/>
        <v>39959.009289610141</v>
      </c>
      <c r="K20" s="155">
        <f>'[3]Req Inflow'!K19</f>
        <v>186519.30881884528</v>
      </c>
      <c r="L20" s="155">
        <f>'[3]Req Inflow'!L19</f>
        <v>186519.30881884528</v>
      </c>
      <c r="M20" s="43">
        <f t="shared" si="0"/>
        <v>226478.31810845542</v>
      </c>
      <c r="N20" s="43">
        <f t="shared" si="1"/>
        <v>226478.31810845542</v>
      </c>
      <c r="P20" s="111">
        <f>[2]SWDemand!P26</f>
        <v>39677.056560000034</v>
      </c>
      <c r="Q20" s="111">
        <f>[2]SWDemand!S26</f>
        <v>5815.2956999999997</v>
      </c>
      <c r="R20" s="73">
        <f>'[2]M&amp;I COHYST Summary'!C48</f>
        <v>2060.34</v>
      </c>
      <c r="S20" s="72">
        <f>MAX([2]GWCU!F24*0.3+[2]GWCU!G24*0.3,H20)</f>
        <v>18349.084717500005</v>
      </c>
      <c r="T20" s="72">
        <f>IF('[3]DS Demand'!O19&gt;0,'[3]DS Demand'!O19,0)</f>
        <v>152775.99010932032</v>
      </c>
      <c r="U20" s="72">
        <f>IF(92*3465&gt;('Lewellen_Irrigation Season'!E20+'Lewellen_Irrigation Season'!B20),('Lewellen_Irrigation Season'!E20+'Lewellen_Irrigation Season'!B20),92*3465)</f>
        <v>161770.85043510102</v>
      </c>
      <c r="V20" s="72">
        <f>MIN(92*3762-'SPlatte_Irrigation Season'!P20,U20)</f>
        <v>161770.85043510102</v>
      </c>
      <c r="W20" s="73">
        <f>'[2]Net SW Loss'!L25+'[2]Net SW Loss'!M25</f>
        <v>34639.810000650054</v>
      </c>
      <c r="X20" s="111">
        <f t="shared" si="5"/>
        <v>0</v>
      </c>
      <c r="Y20" s="111">
        <f t="shared" si="2"/>
        <v>50445.506213136025</v>
      </c>
      <c r="Z20" s="73">
        <f t="shared" si="6"/>
        <v>161770.85043510102</v>
      </c>
      <c r="AA20" s="73">
        <f t="shared" si="7"/>
        <v>161770.85043510102</v>
      </c>
      <c r="AB20" s="111">
        <f>'[2]Mac EOM '!F22</f>
        <v>0</v>
      </c>
      <c r="AC20" s="116"/>
      <c r="AD20" s="62">
        <f>H20+P20+Z20-MIN(AB20,P20+'[2]Net SW Loss'!L25)+R20+Q20+Y20+W20</f>
        <v>305532.69494814612</v>
      </c>
      <c r="AE20" s="62">
        <f>H20+P20+AA20-MIN(AB20,P20+'[2]Net SW Loss'!L25)+R20+Q20+Y20+W20</f>
        <v>305532.69494814612</v>
      </c>
      <c r="AF20" s="62">
        <f>S20+P20+Z20-MIN(AB20,P20+'[2]Net SW Loss'!L25)+R20+Q20+Y20+W20</f>
        <v>312757.9436263871</v>
      </c>
      <c r="AG20" s="62">
        <f>S20+P20+AA20-MIN(AB20,P20+'[2]Net SW Loss'!L25)+R20+Q20+Y20+W20</f>
        <v>312757.9436263871</v>
      </c>
      <c r="AH20" s="83"/>
      <c r="AI20" s="83"/>
      <c r="AJ20" s="62">
        <f t="shared" si="8"/>
        <v>-79054.376839690696</v>
      </c>
      <c r="AK20" s="62">
        <f t="shared" si="9"/>
        <v>-79054.376839690696</v>
      </c>
      <c r="AL20" s="62">
        <f t="shared" si="10"/>
        <v>-86279.625517931679</v>
      </c>
      <c r="AM20" s="62">
        <f t="shared" si="11"/>
        <v>-86279.625517931679</v>
      </c>
    </row>
    <row r="21" spans="1:39" x14ac:dyDescent="0.25">
      <c r="A21" s="38">
        <v>2001</v>
      </c>
      <c r="B21" s="146">
        <f>'[1]Capped Flow'!O20</f>
        <v>241967.87999999989</v>
      </c>
      <c r="C21" s="146">
        <f>'[1]Capped Flow'!P20</f>
        <v>226446.65999999992</v>
      </c>
      <c r="D21" s="146">
        <f t="shared" si="3"/>
        <v>-15521.219999999972</v>
      </c>
      <c r="E21" s="146">
        <f>IF('[2]Reservoir Evap'!J24&gt;0, '[2]Reservoir Evap'!J24, 0)</f>
        <v>36698.142091429923</v>
      </c>
      <c r="F21" s="146">
        <f>[2]SWCU!J23</f>
        <v>21419.480452395703</v>
      </c>
      <c r="G21" s="146">
        <f>[2]SWCU!K23</f>
        <v>3077.1940095394239</v>
      </c>
      <c r="H21" s="146">
        <f>'[2]GW Depletions'!R28+'[2]GW Depletions'!S28</f>
        <v>11763.18341116125</v>
      </c>
      <c r="J21" s="78">
        <f t="shared" si="4"/>
        <v>57436.779964526322</v>
      </c>
      <c r="K21" s="155">
        <f>'[3]Req Inflow'!K20</f>
        <v>201790.36267191055</v>
      </c>
      <c r="L21" s="155">
        <f>'[3]Req Inflow'!L20</f>
        <v>201790.36267191055</v>
      </c>
      <c r="M21" s="43">
        <f t="shared" si="0"/>
        <v>259227.14263643688</v>
      </c>
      <c r="N21" s="43">
        <f t="shared" si="1"/>
        <v>259227.14263643688</v>
      </c>
      <c r="P21" s="111">
        <f>[2]SWDemand!P27</f>
        <v>34295.54988000002</v>
      </c>
      <c r="Q21" s="111">
        <f>[2]SWDemand!S27</f>
        <v>4735.6840800000055</v>
      </c>
      <c r="R21" s="73">
        <f>'[2]M&amp;I COHYST Summary'!C49</f>
        <v>2064.8899999999994</v>
      </c>
      <c r="S21" s="72">
        <f>MAX([2]GWCU!F25*0.3+[2]GWCU!G25*0.3,H21)</f>
        <v>15366.950297500007</v>
      </c>
      <c r="T21" s="72">
        <f>IF('[3]DS Demand'!O20&gt;0,'[3]DS Demand'!O20,0)</f>
        <v>154664.57722459314</v>
      </c>
      <c r="U21" s="72">
        <f>IF(92*3465&gt;('Lewellen_Irrigation Season'!E21+'Lewellen_Irrigation Season'!B21),('Lewellen_Irrigation Season'!E21+'Lewellen_Irrigation Season'!B21),92*3465)</f>
        <v>202183.21953519282</v>
      </c>
      <c r="V21" s="72">
        <f>MIN(92*3762-'SPlatte_Irrigation Season'!P21,U21)</f>
        <v>202183.21953519282</v>
      </c>
      <c r="W21" s="73">
        <f>'[2]Net SW Loss'!L26+'[2]Net SW Loss'!M26</f>
        <v>34580.000000650056</v>
      </c>
      <c r="X21" s="111">
        <f t="shared" si="5"/>
        <v>0</v>
      </c>
      <c r="Y21" s="111">
        <f t="shared" si="2"/>
        <v>36698.142091429923</v>
      </c>
      <c r="Z21" s="73">
        <f t="shared" si="6"/>
        <v>202183.21953519282</v>
      </c>
      <c r="AA21" s="73">
        <f t="shared" si="7"/>
        <v>202183.21953519282</v>
      </c>
      <c r="AB21" s="111">
        <f>'[2]Mac EOM '!F23</f>
        <v>0</v>
      </c>
      <c r="AC21" s="116"/>
      <c r="AD21" s="62">
        <f>H21+P21+Z21-MIN(AB21,P21+'[2]Net SW Loss'!L26)+R21+Q21+Y21+W21</f>
        <v>326320.66899843409</v>
      </c>
      <c r="AE21" s="62">
        <f>H21+P21+AA21-MIN(AB21,P21+'[2]Net SW Loss'!L26)+R21+Q21+Y21+W21</f>
        <v>326320.66899843409</v>
      </c>
      <c r="AF21" s="62">
        <f>S21+P21+Z21-MIN(AB21,P21+'[2]Net SW Loss'!L26)+R21+Q21+Y21+W21</f>
        <v>329924.43588477286</v>
      </c>
      <c r="AG21" s="62">
        <f>S21+P21+AA21-MIN(AB21,P21+'[2]Net SW Loss'!L26)+R21+Q21+Y21+W21</f>
        <v>329924.43588477286</v>
      </c>
      <c r="AH21" s="83"/>
      <c r="AI21" s="83"/>
      <c r="AJ21" s="62">
        <f t="shared" si="8"/>
        <v>-67093.52636199721</v>
      </c>
      <c r="AK21" s="62">
        <f t="shared" si="9"/>
        <v>-67093.52636199721</v>
      </c>
      <c r="AL21" s="62">
        <f t="shared" si="10"/>
        <v>-70697.293248335976</v>
      </c>
      <c r="AM21" s="62">
        <f t="shared" si="11"/>
        <v>-70697.293248335976</v>
      </c>
    </row>
    <row r="22" spans="1:39" x14ac:dyDescent="0.25">
      <c r="A22" s="38">
        <v>2002</v>
      </c>
      <c r="B22" s="146">
        <f>'[1]Capped Flow'!O21</f>
        <v>234596.33999999982</v>
      </c>
      <c r="C22" s="146">
        <f>'[1]Capped Flow'!P21</f>
        <v>203403.41999999995</v>
      </c>
      <c r="D22" s="146">
        <f t="shared" si="3"/>
        <v>-31192.919999999867</v>
      </c>
      <c r="E22" s="146">
        <f>IF('[2]Reservoir Evap'!J25&gt;0, '[2]Reservoir Evap'!J25, 0)</f>
        <v>41879.142451447056</v>
      </c>
      <c r="F22" s="146">
        <f>[2]SWCU!J24</f>
        <v>21826.062726340821</v>
      </c>
      <c r="G22" s="146">
        <f>[2]SWCU!K24</f>
        <v>5336.2020660636726</v>
      </c>
      <c r="H22" s="146">
        <f>'[2]GW Depletions'!R29+'[2]GW Depletions'!S29</f>
        <v>10911.131038571029</v>
      </c>
      <c r="J22" s="78">
        <f t="shared" si="4"/>
        <v>48759.618282422714</v>
      </c>
      <c r="K22" s="155">
        <f>'[3]Req Inflow'!K21</f>
        <v>96375.555492651372</v>
      </c>
      <c r="L22" s="155">
        <f>'[3]Req Inflow'!L21</f>
        <v>96375.555492651372</v>
      </c>
      <c r="M22" s="43">
        <f t="shared" si="0"/>
        <v>145135.17377507407</v>
      </c>
      <c r="N22" s="43">
        <f t="shared" si="1"/>
        <v>145135.17377507407</v>
      </c>
      <c r="P22" s="111">
        <f>[2]SWDemand!P28</f>
        <v>34899.378150000004</v>
      </c>
      <c r="Q22" s="111">
        <f>[2]SWDemand!S28</f>
        <v>8212.9937400000053</v>
      </c>
      <c r="R22" s="73">
        <f>'[2]M&amp;I COHYST Summary'!C50</f>
        <v>2069.69</v>
      </c>
      <c r="S22" s="72">
        <f>MAX([2]GWCU!F26*0.3+[2]GWCU!G26*0.3,H22)</f>
        <v>25608.416782499989</v>
      </c>
      <c r="T22" s="72">
        <f>IF('[3]DS Demand'!O21&gt;0,'[3]DS Demand'!O21,0)</f>
        <v>486204.33883971523</v>
      </c>
      <c r="U22" s="72">
        <f>IF(92*3465&gt;('Lewellen_Irrigation Season'!E22+'Lewellen_Irrigation Season'!B22),('Lewellen_Irrigation Season'!E22+'Lewellen_Irrigation Season'!B22),92*3465)</f>
        <v>80299.749757047743</v>
      </c>
      <c r="V22" s="72">
        <f>MIN(92*3762-'SPlatte_Irrigation Season'!P22,U22)</f>
        <v>80299.749757047743</v>
      </c>
      <c r="W22" s="73">
        <f>'[2]Net SW Loss'!L27+'[2]Net SW Loss'!M27</f>
        <v>34007.490000070051</v>
      </c>
      <c r="X22" s="111">
        <f t="shared" si="5"/>
        <v>0</v>
      </c>
      <c r="Y22" s="111">
        <f t="shared" si="2"/>
        <v>41879.142451447056</v>
      </c>
      <c r="Z22" s="73">
        <f t="shared" si="6"/>
        <v>486204.33883971523</v>
      </c>
      <c r="AA22" s="73">
        <f t="shared" si="7"/>
        <v>486204.33883971523</v>
      </c>
      <c r="AB22" s="111">
        <f>'[2]Mac EOM '!F24</f>
        <v>0</v>
      </c>
      <c r="AC22" s="116"/>
      <c r="AD22" s="62">
        <f>H22+P22+Z22-MIN(AB22,P22+'[2]Net SW Loss'!L27)+R22+Q22+Y22+W22</f>
        <v>618184.16421980329</v>
      </c>
      <c r="AE22" s="62">
        <f>H22+P22+AA22-MIN(AB22,P22+'[2]Net SW Loss'!L27)+R22+Q22+Y22+W22</f>
        <v>618184.16421980329</v>
      </c>
      <c r="AF22" s="62">
        <f>S22+P22+Z22-MIN(AB22,P22+'[2]Net SW Loss'!L27)+R22+Q22+Y22+W22</f>
        <v>632881.44996373227</v>
      </c>
      <c r="AG22" s="62">
        <f>S22+P22+AA22-MIN(AB22,P22+'[2]Net SW Loss'!L27)+R22+Q22+Y22+W22</f>
        <v>632881.44996373227</v>
      </c>
      <c r="AH22" s="83"/>
      <c r="AI22" s="83"/>
      <c r="AJ22" s="62">
        <f t="shared" si="8"/>
        <v>-473048.99044472922</v>
      </c>
      <c r="AK22" s="62">
        <f t="shared" si="9"/>
        <v>-473048.99044472922</v>
      </c>
      <c r="AL22" s="62">
        <f t="shared" si="10"/>
        <v>-487746.2761886582</v>
      </c>
      <c r="AM22" s="62">
        <f t="shared" si="11"/>
        <v>-487746.2761886582</v>
      </c>
    </row>
    <row r="23" spans="1:39" x14ac:dyDescent="0.25">
      <c r="A23" s="38">
        <v>2003</v>
      </c>
      <c r="B23" s="146">
        <f>'[1]Capped Flow'!O22</f>
        <v>146735.82000000004</v>
      </c>
      <c r="C23" s="146">
        <f>'[1]Capped Flow'!P22</f>
        <v>116602.2</v>
      </c>
      <c r="D23" s="146">
        <f t="shared" si="3"/>
        <v>-30133.620000000039</v>
      </c>
      <c r="E23" s="146">
        <f>IF('[2]Reservoir Evap'!J26&gt;0, '[2]Reservoir Evap'!J26, 0)</f>
        <v>38323.672998400478</v>
      </c>
      <c r="F23" s="146">
        <f>[2]SWCU!J25</f>
        <v>14831.244168105524</v>
      </c>
      <c r="G23" s="146">
        <f>[2]SWCU!K25</f>
        <v>4086.9878399775648</v>
      </c>
      <c r="H23" s="146">
        <f>'[2]GW Depletions'!R30+'[2]GW Depletions'!S30</f>
        <v>14609.672196170432</v>
      </c>
      <c r="J23" s="78">
        <f t="shared" si="4"/>
        <v>41717.957202653961</v>
      </c>
      <c r="K23" s="155">
        <f>'[3]Req Inflow'!K22</f>
        <v>101145.31789258283</v>
      </c>
      <c r="L23" s="155">
        <f>'[3]Req Inflow'!L22</f>
        <v>101145.31789258283</v>
      </c>
      <c r="M23" s="43">
        <f t="shared" si="0"/>
        <v>142863.27509523678</v>
      </c>
      <c r="N23" s="43">
        <f t="shared" si="1"/>
        <v>142863.27509523678</v>
      </c>
      <c r="P23" s="111">
        <f>[2]SWDemand!P29</f>
        <v>24130.197660000016</v>
      </c>
      <c r="Q23" s="111">
        <f>[2]SWDemand!S29</f>
        <v>6289.3716599999943</v>
      </c>
      <c r="R23" s="73">
        <f>'[2]M&amp;I COHYST Summary'!C51</f>
        <v>2028.17</v>
      </c>
      <c r="S23" s="72">
        <f>MAX([2]GWCU!F27*0.3+[2]GWCU!G27*0.3,H23)</f>
        <v>24669.356772500025</v>
      </c>
      <c r="T23" s="72">
        <f>IF('[3]DS Demand'!O22&gt;0,'[3]DS Demand'!O22,0)</f>
        <v>192689.91828953975</v>
      </c>
      <c r="U23" s="72">
        <f>IF(92*3465&gt;('Lewellen_Irrigation Season'!E23+'Lewellen_Irrigation Season'!B23),('Lewellen_Irrigation Season'!E23+'Lewellen_Irrigation Season'!B23),92*3465)</f>
        <v>86326.110847084463</v>
      </c>
      <c r="V23" s="72">
        <f>MIN(92*3762-'SPlatte_Irrigation Season'!P23,U23)</f>
        <v>86326.110847084463</v>
      </c>
      <c r="W23" s="73">
        <f>'[2]Net SW Loss'!L28+'[2]Net SW Loss'!M28</f>
        <v>34144.380000650039</v>
      </c>
      <c r="X23" s="111">
        <f t="shared" si="5"/>
        <v>0</v>
      </c>
      <c r="Y23" s="111">
        <f t="shared" si="2"/>
        <v>38323.672998400478</v>
      </c>
      <c r="Z23" s="73">
        <f t="shared" si="6"/>
        <v>192689.91828953975</v>
      </c>
      <c r="AA23" s="73">
        <f t="shared" si="7"/>
        <v>192689.91828953975</v>
      </c>
      <c r="AB23" s="111">
        <f>'[2]Mac EOM '!F25</f>
        <v>0</v>
      </c>
      <c r="AC23" s="116"/>
      <c r="AD23" s="62">
        <f>H23+P23+Z23-MIN(AB23,P23+'[2]Net SW Loss'!L28)+R23+Q23+Y23+W23</f>
        <v>312215.38280476071</v>
      </c>
      <c r="AE23" s="62">
        <f>H23+P23+AA23-MIN(AB23,P23+'[2]Net SW Loss'!L28)+R23+Q23+Y23+W23</f>
        <v>312215.38280476071</v>
      </c>
      <c r="AF23" s="62">
        <f>S23+P23+Z23-MIN(AB23,P23+'[2]Net SW Loss'!L28)+R23+Q23+Y23+W23</f>
        <v>322275.06738109037</v>
      </c>
      <c r="AG23" s="62">
        <f>S23+P23+AA23-MIN(AB23,P23+'[2]Net SW Loss'!L28)+R23+Q23+Y23+W23</f>
        <v>322275.06738109037</v>
      </c>
      <c r="AH23" s="83"/>
      <c r="AI23" s="83"/>
      <c r="AJ23" s="62">
        <f t="shared" si="8"/>
        <v>-169352.10770952393</v>
      </c>
      <c r="AK23" s="62">
        <f t="shared" si="9"/>
        <v>-169352.10770952393</v>
      </c>
      <c r="AL23" s="62">
        <f t="shared" si="10"/>
        <v>-179411.79228585359</v>
      </c>
      <c r="AM23" s="62">
        <f t="shared" si="11"/>
        <v>-179411.79228585359</v>
      </c>
    </row>
    <row r="24" spans="1:39" x14ac:dyDescent="0.25">
      <c r="A24" s="38">
        <v>2004</v>
      </c>
      <c r="B24" s="146">
        <f>'[1]Capped Flow'!O23</f>
        <v>67826.880000000019</v>
      </c>
      <c r="C24" s="146">
        <f>'[1]Capped Flow'!P23</f>
        <v>70246.439999999988</v>
      </c>
      <c r="D24" s="146">
        <f t="shared" si="3"/>
        <v>2419.5599999999686</v>
      </c>
      <c r="E24" s="146">
        <f>IF('[2]Reservoir Evap'!J27&gt;0, '[2]Reservoir Evap'!J27, 0)</f>
        <v>26171.886489886012</v>
      </c>
      <c r="F24" s="146">
        <f>[2]SWCU!J26</f>
        <v>10002.816622679502</v>
      </c>
      <c r="G24" s="146">
        <f>[2]SWCU!K26</f>
        <v>3252.3670920667055</v>
      </c>
      <c r="H24" s="146">
        <f>'[2]GW Depletions'!R31+'[2]GW Depletions'!S31</f>
        <v>18263.698736689261</v>
      </c>
      <c r="J24" s="78">
        <f t="shared" si="4"/>
        <v>60110.328941321452</v>
      </c>
      <c r="K24" s="155">
        <f>'[3]Req Inflow'!K23</f>
        <v>93728.557408825713</v>
      </c>
      <c r="L24" s="155">
        <f>'[3]Req Inflow'!L23</f>
        <v>93728.557408825713</v>
      </c>
      <c r="M24" s="43">
        <f t="shared" si="0"/>
        <v>153838.88635014716</v>
      </c>
      <c r="N24" s="43">
        <f t="shared" si="1"/>
        <v>153838.88635014716</v>
      </c>
      <c r="P24" s="111">
        <f>[2]SWDemand!P30</f>
        <v>17923.219229999999</v>
      </c>
      <c r="Q24" s="111">
        <f>[2]SWDemand!S30</f>
        <v>5005.8715500000026</v>
      </c>
      <c r="R24" s="73">
        <f>'[2]M&amp;I COHYST Summary'!C52</f>
        <v>1901.5</v>
      </c>
      <c r="S24" s="72">
        <f>MAX([2]GWCU!F28*0.3+[2]GWCU!G28*0.3,H24)</f>
        <v>19627.211499999998</v>
      </c>
      <c r="T24" s="72">
        <f>IF('[3]DS Demand'!O23&gt;0,'[3]DS Demand'!O23,0)</f>
        <v>212346.15451910213</v>
      </c>
      <c r="U24" s="72">
        <f>IF(92*3465&gt;('Lewellen_Irrigation Season'!E24+'Lewellen_Irrigation Season'!B24),('Lewellen_Irrigation Season'!E24+'Lewellen_Irrigation Season'!B24),92*3465)</f>
        <v>98147.389343365503</v>
      </c>
      <c r="V24" s="72">
        <f>MIN(92*3762-'SPlatte_Irrigation Season'!P24,U24)</f>
        <v>98147.389343365503</v>
      </c>
      <c r="W24" s="73">
        <f>'[2]Net SW Loss'!L29+'[2]Net SW Loss'!M29</f>
        <v>33660.21000065004</v>
      </c>
      <c r="X24" s="111">
        <f t="shared" si="5"/>
        <v>0</v>
      </c>
      <c r="Y24" s="111">
        <f t="shared" si="2"/>
        <v>26171.886489886012</v>
      </c>
      <c r="Z24" s="73">
        <f t="shared" si="6"/>
        <v>212346.15451910213</v>
      </c>
      <c r="AA24" s="73">
        <f t="shared" si="7"/>
        <v>212346.15451910213</v>
      </c>
      <c r="AB24" s="111">
        <f>'[2]Mac EOM '!F26</f>
        <v>0</v>
      </c>
      <c r="AC24" s="116"/>
      <c r="AD24" s="62">
        <f>H24+P24+Z24-MIN(AB24,P24+'[2]Net SW Loss'!L29)+R24+Q24+Y24+W24</f>
        <v>315272.54052632744</v>
      </c>
      <c r="AE24" s="62">
        <f>H24+P24+AA24-MIN(AB24,P24+'[2]Net SW Loss'!L29)+R24+Q24+Y24+W24</f>
        <v>315272.54052632744</v>
      </c>
      <c r="AF24" s="62">
        <f>S24+P24+Z24-MIN(AB24,P24+'[2]Net SW Loss'!L29)+R24+Q24+Y24+W24</f>
        <v>316636.05328963819</v>
      </c>
      <c r="AG24" s="62">
        <f>S24+P24+AA24-MIN(AB24,P24+'[2]Net SW Loss'!L29)+R24+Q24+Y24+W24</f>
        <v>316636.05328963819</v>
      </c>
      <c r="AH24" s="83"/>
      <c r="AI24" s="83"/>
      <c r="AJ24" s="62">
        <f t="shared" si="8"/>
        <v>-161433.65417618028</v>
      </c>
      <c r="AK24" s="62">
        <f t="shared" si="9"/>
        <v>-161433.65417618028</v>
      </c>
      <c r="AL24" s="62">
        <f t="shared" si="10"/>
        <v>-162797.16693949103</v>
      </c>
      <c r="AM24" s="62">
        <f t="shared" si="11"/>
        <v>-162797.16693949103</v>
      </c>
    </row>
    <row r="25" spans="1:39" x14ac:dyDescent="0.25">
      <c r="A25" s="38">
        <v>2005</v>
      </c>
      <c r="B25" s="146">
        <f>'[1]Capped Flow'!O24</f>
        <v>72747.377999999982</v>
      </c>
      <c r="C25" s="146">
        <f>'[1]Capped Flow'!P24</f>
        <v>78077.34</v>
      </c>
      <c r="D25" s="146">
        <f t="shared" si="3"/>
        <v>5329.9620000000141</v>
      </c>
      <c r="E25" s="146">
        <f>IF('[2]Reservoir Evap'!J28&gt;0, '[2]Reservoir Evap'!J28, 0)</f>
        <v>22812.136983411281</v>
      </c>
      <c r="F25" s="146">
        <f>[2]SWCU!J27</f>
        <v>13423.146106515771</v>
      </c>
      <c r="G25" s="146">
        <f>[2]SWCU!K27</f>
        <v>3341.6547254120642</v>
      </c>
      <c r="H25" s="146">
        <f>'[2]GW Depletions'!R32+'[2]GW Depletions'!S32</f>
        <v>17797.606294080651</v>
      </c>
      <c r="J25" s="78">
        <f t="shared" si="4"/>
        <v>62704.506109419781</v>
      </c>
      <c r="K25" s="155">
        <f>'[3]Req Inflow'!K24</f>
        <v>138141.0349915124</v>
      </c>
      <c r="L25" s="155">
        <f>'[3]Req Inflow'!L24</f>
        <v>138141.0349915124</v>
      </c>
      <c r="M25" s="43">
        <f t="shared" si="0"/>
        <v>200845.54110093217</v>
      </c>
      <c r="N25" s="43">
        <f t="shared" si="1"/>
        <v>200845.54110093217</v>
      </c>
      <c r="P25" s="111">
        <f>[2]SWDemand!P31</f>
        <v>22419.224940000015</v>
      </c>
      <c r="Q25" s="111">
        <f>[2]SWDemand!S31</f>
        <v>5144.0768399999952</v>
      </c>
      <c r="R25" s="73">
        <f>'[2]M&amp;I COHYST Summary'!C53</f>
        <v>1922</v>
      </c>
      <c r="S25" s="72">
        <f>MAX([2]GWCU!F29*0.3+[2]GWCU!G29*0.3,H25)</f>
        <v>21947.375389999987</v>
      </c>
      <c r="T25" s="72">
        <f>IF('[3]DS Demand'!O24&gt;0,'[3]DS Demand'!O24,0)</f>
        <v>111564.49420725854</v>
      </c>
      <c r="U25" s="72">
        <f>IF(92*3465&gt;('Lewellen_Irrigation Season'!E25+'Lewellen_Irrigation Season'!B25),('Lewellen_Irrigation Season'!E25+'Lewellen_Irrigation Season'!B25),92*3465)</f>
        <v>152557.14478732779</v>
      </c>
      <c r="V25" s="72">
        <f>MIN(92*3762-'SPlatte_Irrigation Season'!P25,U25)</f>
        <v>152557.14478732779</v>
      </c>
      <c r="W25" s="73">
        <f>'[2]Net SW Loss'!L30+'[2]Net SW Loss'!M30</f>
        <v>34393.85000065004</v>
      </c>
      <c r="X25" s="111">
        <f t="shared" si="5"/>
        <v>25286.925059349946</v>
      </c>
      <c r="Y25" s="111">
        <f t="shared" si="2"/>
        <v>22812.136983411281</v>
      </c>
      <c r="Z25" s="73">
        <f t="shared" si="6"/>
        <v>152557.14478732779</v>
      </c>
      <c r="AA25" s="73">
        <f t="shared" si="7"/>
        <v>152557.14478732779</v>
      </c>
      <c r="AB25" s="111">
        <f>'[2]Mac EOM '!F27</f>
        <v>82100</v>
      </c>
      <c r="AC25" s="116"/>
      <c r="AD25" s="62">
        <f>H25+P25+Z25-MIN(AB25,P25+'[2]Net SW Loss'!L30)+R25+Q25+Y25+W25</f>
        <v>202782.63490481972</v>
      </c>
      <c r="AE25" s="62">
        <f>H25+P25+AA25-MIN(AB25,P25+'[2]Net SW Loss'!L30)+R25+Q25+Y25+W25</f>
        <v>202782.63490481972</v>
      </c>
      <c r="AF25" s="62">
        <f>S25+P25+Z25-MIN(AB25,P25+'[2]Net SW Loss'!L30)+R25+Q25+Y25+W25</f>
        <v>206932.40400073904</v>
      </c>
      <c r="AG25" s="62">
        <f>S25+P25+AA25-MIN(AB25,P25+'[2]Net SW Loss'!L30)+R25+Q25+Y25+W25</f>
        <v>206932.40400073904</v>
      </c>
      <c r="AH25" s="83"/>
      <c r="AI25" s="83"/>
      <c r="AJ25" s="62">
        <f t="shared" si="8"/>
        <v>-1937.0938038875465</v>
      </c>
      <c r="AK25" s="62">
        <f t="shared" si="9"/>
        <v>-1937.0938038875465</v>
      </c>
      <c r="AL25" s="62">
        <f t="shared" si="10"/>
        <v>-6086.8628998068743</v>
      </c>
      <c r="AM25" s="62">
        <f t="shared" si="11"/>
        <v>-6086.8628998068743</v>
      </c>
    </row>
    <row r="26" spans="1:39" x14ac:dyDescent="0.25">
      <c r="A26" s="38">
        <v>2006</v>
      </c>
      <c r="B26" s="146">
        <f>'[1]Capped Flow'!O25</f>
        <v>117740.69999999995</v>
      </c>
      <c r="C26" s="146">
        <f>'[1]Capped Flow'!P25</f>
        <v>92970.900000000009</v>
      </c>
      <c r="D26" s="146">
        <f t="shared" si="3"/>
        <v>-24769.799999999945</v>
      </c>
      <c r="E26" s="146">
        <f>IF('[2]Reservoir Evap'!J29&gt;0, '[2]Reservoir Evap'!J29, 0)</f>
        <v>31161.436527522419</v>
      </c>
      <c r="F26" s="146">
        <f>[2]SWCU!J28</f>
        <v>10428.120007499996</v>
      </c>
      <c r="G26" s="146">
        <f>[2]SWCU!K28</f>
        <v>3510.1326000000004</v>
      </c>
      <c r="H26" s="146">
        <f>'[2]GW Depletions'!R33+'[2]GW Depletions'!S33</f>
        <v>17303.120028241137</v>
      </c>
      <c r="J26" s="78">
        <f t="shared" si="4"/>
        <v>37633.009163263603</v>
      </c>
      <c r="K26" s="155">
        <f>'[3]Req Inflow'!K25</f>
        <v>109991.98491973178</v>
      </c>
      <c r="L26" s="155">
        <f>'[3]Req Inflow'!L25</f>
        <v>109991.98491973178</v>
      </c>
      <c r="M26" s="43">
        <f t="shared" si="0"/>
        <v>147624.9940829954</v>
      </c>
      <c r="N26" s="43">
        <f t="shared" si="1"/>
        <v>147624.9940829954</v>
      </c>
      <c r="P26" s="111">
        <f>[2]SWDemand!P32</f>
        <v>16043.261549999992</v>
      </c>
      <c r="Q26" s="111">
        <f>[2]SWDemand!S32</f>
        <v>5148.527250000001</v>
      </c>
      <c r="R26" s="73">
        <f>'[2]M&amp;I COHYST Summary'!C54</f>
        <v>1922</v>
      </c>
      <c r="S26" s="72">
        <f>MAX([2]GWCU!F30*0.3+[2]GWCU!G30*0.3,H26)</f>
        <v>21385.500915000001</v>
      </c>
      <c r="T26" s="72">
        <f>IF('[3]DS Demand'!O25&gt;0,'[3]DS Demand'!O25,0)</f>
        <v>223011.00939560111</v>
      </c>
      <c r="U26" s="72">
        <f>IF(92*3465&gt;('Lewellen_Irrigation Season'!E26+'Lewellen_Irrigation Season'!B26),('Lewellen_Irrigation Season'!E26+'Lewellen_Irrigation Season'!B26),92*3465)</f>
        <v>99519.171080027561</v>
      </c>
      <c r="V26" s="72">
        <f>MIN(92*3762-'SPlatte_Irrigation Season'!P26,U26)</f>
        <v>99519.171080027561</v>
      </c>
      <c r="W26" s="73">
        <f>'[2]Net SW Loss'!L31+'[2]Net SW Loss'!M31</f>
        <v>33441.420000730024</v>
      </c>
      <c r="X26" s="111">
        <f t="shared" si="5"/>
        <v>0</v>
      </c>
      <c r="Y26" s="111">
        <f t="shared" si="2"/>
        <v>31161.436527522419</v>
      </c>
      <c r="Z26" s="73">
        <f t="shared" si="6"/>
        <v>223011.00939560111</v>
      </c>
      <c r="AA26" s="73">
        <f t="shared" si="7"/>
        <v>223011.00939560111</v>
      </c>
      <c r="AB26" s="111">
        <f>'[2]Mac EOM '!F28</f>
        <v>0</v>
      </c>
      <c r="AC26" s="116"/>
      <c r="AD26" s="62">
        <f>H26+P26+Z26-MIN(AB26,P26+'[2]Net SW Loss'!L31)+R26+Q26+Y26+W26</f>
        <v>328030.77475209464</v>
      </c>
      <c r="AE26" s="62">
        <f>H26+P26+AA26-MIN(AB26,P26+'[2]Net SW Loss'!L31)+R26+Q26+Y26+W26</f>
        <v>328030.77475209464</v>
      </c>
      <c r="AF26" s="62">
        <f>S26+P26+Z26-MIN(AB26,P26+'[2]Net SW Loss'!L31)+R26+Q26+Y26+W26</f>
        <v>332113.1556388535</v>
      </c>
      <c r="AG26" s="62">
        <f>S26+P26+AA26-MIN(AB26,P26+'[2]Net SW Loss'!L31)+R26+Q26+Y26+W26</f>
        <v>332113.1556388535</v>
      </c>
      <c r="AH26" s="83"/>
      <c r="AI26" s="83"/>
      <c r="AJ26" s="62">
        <f t="shared" si="8"/>
        <v>-180405.78066909924</v>
      </c>
      <c r="AK26" s="62">
        <f t="shared" si="9"/>
        <v>-180405.78066909924</v>
      </c>
      <c r="AL26" s="62">
        <f t="shared" si="10"/>
        <v>-184488.1615558581</v>
      </c>
      <c r="AM26" s="62">
        <f t="shared" si="11"/>
        <v>-184488.1615558581</v>
      </c>
    </row>
    <row r="27" spans="1:39" x14ac:dyDescent="0.25">
      <c r="A27" s="38">
        <v>2007</v>
      </c>
      <c r="B27" s="146">
        <f>'[1]Capped Flow'!O26</f>
        <v>83556.376200000013</v>
      </c>
      <c r="C27" s="146">
        <f>'[1]Capped Flow'!P26</f>
        <v>97311.06</v>
      </c>
      <c r="D27" s="146">
        <f t="shared" si="3"/>
        <v>13754.683799999984</v>
      </c>
      <c r="E27" s="146">
        <f>IF('[2]Reservoir Evap'!J30&gt;0, '[2]Reservoir Evap'!J30, 0)</f>
        <v>31040.495334851072</v>
      </c>
      <c r="F27" s="146">
        <f>[2]SWCU!J29</f>
        <v>6697.1243819999981</v>
      </c>
      <c r="G27" s="146">
        <f>[2]SWCU!K29</f>
        <v>2801.799</v>
      </c>
      <c r="H27" s="146">
        <f>'[2]GW Depletions'!R34+'[2]GW Depletions'!S34</f>
        <v>17223.387286390131</v>
      </c>
      <c r="J27" s="78">
        <f t="shared" si="4"/>
        <v>71517.489803241187</v>
      </c>
      <c r="K27" s="155">
        <f>'[3]Req Inflow'!K26</f>
        <v>99638.013937391981</v>
      </c>
      <c r="L27" s="155">
        <f>'[3]Req Inflow'!L26</f>
        <v>99638.013937391981</v>
      </c>
      <c r="M27" s="43">
        <f t="shared" si="0"/>
        <v>171155.50374063317</v>
      </c>
      <c r="N27" s="43">
        <f t="shared" si="1"/>
        <v>171155.50374063317</v>
      </c>
      <c r="P27" s="111">
        <f>[2]SWDemand!P33</f>
        <v>10303.268279999997</v>
      </c>
      <c r="Q27" s="111">
        <f>[2]SWDemand!S33</f>
        <v>3247.2598500000026</v>
      </c>
      <c r="R27" s="73">
        <f>'[2]M&amp;I COHYST Summary'!C55</f>
        <v>1922</v>
      </c>
      <c r="S27" s="72">
        <f>MAX([2]GWCU!F31*0.3+[2]GWCU!G31*0.3,H27)</f>
        <v>17223.387286390131</v>
      </c>
      <c r="T27" s="72">
        <f>IF('[3]DS Demand'!O26&gt;0,'[3]DS Demand'!O26,0)</f>
        <v>77020.616408767659</v>
      </c>
      <c r="U27" s="72">
        <f>IF(92*3465&gt;('Lewellen_Irrigation Season'!E27+'Lewellen_Irrigation Season'!B27),('Lewellen_Irrigation Season'!E27+'Lewellen_Irrigation Season'!B27),92*3465)</f>
        <v>102692.91790709365</v>
      </c>
      <c r="V27" s="72">
        <f>MIN(92*3762-'SPlatte_Irrigation Season'!P27,U27)</f>
        <v>102692.91790709365</v>
      </c>
      <c r="W27" s="73">
        <f>'[2]Net SW Loss'!L32+'[2]Net SW Loss'!M32</f>
        <v>34388.630000650039</v>
      </c>
      <c r="X27" s="111">
        <f t="shared" si="5"/>
        <v>47308.101719349965</v>
      </c>
      <c r="Y27" s="111">
        <f t="shared" si="2"/>
        <v>31040.495334851072</v>
      </c>
      <c r="Z27" s="73">
        <f t="shared" si="6"/>
        <v>102692.91790709365</v>
      </c>
      <c r="AA27" s="73">
        <f t="shared" si="7"/>
        <v>102692.91790709365</v>
      </c>
      <c r="AB27" s="111">
        <f>'[2]Mac EOM '!F29</f>
        <v>92000</v>
      </c>
      <c r="AC27" s="116"/>
      <c r="AD27" s="62">
        <f>H27+P27+Z27-MIN(AB27,P27+'[2]Net SW Loss'!L32)+R27+Q27+Y27+W27</f>
        <v>158670.51037833485</v>
      </c>
      <c r="AE27" s="62">
        <f>H27+P27+AA27-MIN(AB27,P27+'[2]Net SW Loss'!L32)+R27+Q27+Y27+W27</f>
        <v>158670.51037833485</v>
      </c>
      <c r="AF27" s="62">
        <f>S27+P27+Z27-MIN(AB27,P27+'[2]Net SW Loss'!L32)+R27+Q27+Y27+W27</f>
        <v>158670.51037833485</v>
      </c>
      <c r="AG27" s="62">
        <f>S27+P27+AA27-MIN(AB27,P27+'[2]Net SW Loss'!L32)+R27+Q27+Y27+W27</f>
        <v>158670.51037833485</v>
      </c>
      <c r="AH27" s="83"/>
      <c r="AI27" s="83"/>
      <c r="AJ27" s="62">
        <f t="shared" si="8"/>
        <v>12484.993362298323</v>
      </c>
      <c r="AK27" s="62">
        <f t="shared" si="9"/>
        <v>12484.993362298323</v>
      </c>
      <c r="AL27" s="62">
        <f t="shared" si="10"/>
        <v>12484.993362298323</v>
      </c>
      <c r="AM27" s="62">
        <f t="shared" si="11"/>
        <v>12484.993362298323</v>
      </c>
    </row>
    <row r="28" spans="1:39" x14ac:dyDescent="0.25">
      <c r="A28" s="38">
        <v>2008</v>
      </c>
      <c r="B28" s="146">
        <f>'[1]Capped Flow'!O27</f>
        <v>116501.22</v>
      </c>
      <c r="C28" s="146">
        <f>'[1]Capped Flow'!P27</f>
        <v>104013.35999999994</v>
      </c>
      <c r="D28" s="146">
        <f t="shared" si="3"/>
        <v>-12487.860000000059</v>
      </c>
      <c r="E28" s="146">
        <f>IF('[2]Reservoir Evap'!J31&gt;0, '[2]Reservoir Evap'!J31, 0)</f>
        <v>31432.116870788614</v>
      </c>
      <c r="F28" s="146">
        <f>[2]SWCU!J30</f>
        <v>10352.70795</v>
      </c>
      <c r="G28" s="146">
        <f>[2]SWCU!K30</f>
        <v>2628.9607500000002</v>
      </c>
      <c r="H28" s="146">
        <f>'[2]GW Depletions'!R35+'[2]GW Depletions'!S35</f>
        <v>15978.716481868321</v>
      </c>
      <c r="J28" s="78">
        <f t="shared" si="4"/>
        <v>47904.642052656876</v>
      </c>
      <c r="K28" s="155">
        <f>'[3]Req Inflow'!K27</f>
        <v>161206.32022151063</v>
      </c>
      <c r="L28" s="155">
        <f>'[3]Req Inflow'!L27</f>
        <v>161206.32022151063</v>
      </c>
      <c r="M28" s="43">
        <f t="shared" si="0"/>
        <v>209110.96227416751</v>
      </c>
      <c r="N28" s="43">
        <f t="shared" si="1"/>
        <v>209110.96227416751</v>
      </c>
      <c r="P28" s="111">
        <f>[2]SWDemand!P34</f>
        <v>22243.242479999997</v>
      </c>
      <c r="Q28" s="111">
        <f>[2]SWDemand!S34</f>
        <v>7123.6229399999947</v>
      </c>
      <c r="R28" s="73">
        <f>'[2]M&amp;I COHYST Summary'!C56</f>
        <v>1922</v>
      </c>
      <c r="S28" s="72">
        <f>MAX([2]GWCU!F32*0.3+[2]GWCU!G32*0.3,H28)</f>
        <v>28709.650092500015</v>
      </c>
      <c r="T28" s="72">
        <f>IF('[3]DS Demand'!O27&gt;0,'[3]DS Demand'!O27,0)</f>
        <v>50649.858986418505</v>
      </c>
      <c r="U28" s="72">
        <f>IF(92*3465&gt;('Lewellen_Irrigation Season'!E28+'Lewellen_Irrigation Season'!B28),('Lewellen_Irrigation Season'!E28+'Lewellen_Irrigation Season'!B28),92*3465)</f>
        <v>160360.56092926997</v>
      </c>
      <c r="V28" s="72">
        <f>MIN(92*3762-'SPlatte_Irrigation Season'!P28,U28)</f>
        <v>160360.56092926997</v>
      </c>
      <c r="W28" s="73">
        <f>'[2]Net SW Loss'!L33+'[2]Net SW Loss'!M33</f>
        <v>34455.340000650045</v>
      </c>
      <c r="X28" s="111">
        <f t="shared" si="5"/>
        <v>65701.417519349954</v>
      </c>
      <c r="Y28" s="111">
        <f t="shared" si="2"/>
        <v>31432.116870788614</v>
      </c>
      <c r="Z28" s="73">
        <f t="shared" si="6"/>
        <v>160360.56092926997</v>
      </c>
      <c r="AA28" s="73">
        <f t="shared" si="7"/>
        <v>160360.56092926997</v>
      </c>
      <c r="AB28" s="111">
        <f>'[2]Mac EOM '!F30</f>
        <v>122400</v>
      </c>
      <c r="AC28" s="116"/>
      <c r="AD28" s="62">
        <f>H28+P28+Z28-MIN(AB28,P28+'[2]Net SW Loss'!L33)+R28+Q28+Y28+W28</f>
        <v>219366.68722192693</v>
      </c>
      <c r="AE28" s="62">
        <f>H28+P28+AA28-MIN(AB28,P28+'[2]Net SW Loss'!L33)+R28+Q28+Y28+W28</f>
        <v>219366.68722192693</v>
      </c>
      <c r="AF28" s="62">
        <f>S28+P28+Z28-MIN(AB28,P28+'[2]Net SW Loss'!L33)+R28+Q28+Y28+W28</f>
        <v>232097.6208325586</v>
      </c>
      <c r="AG28" s="62">
        <f>S28+P28+AA28-MIN(AB28,P28+'[2]Net SW Loss'!L33)+R28+Q28+Y28+W28</f>
        <v>232097.6208325586</v>
      </c>
      <c r="AH28" s="83"/>
      <c r="AI28" s="83"/>
      <c r="AJ28" s="62">
        <f t="shared" si="8"/>
        <v>-10255.724947759416</v>
      </c>
      <c r="AK28" s="62">
        <f t="shared" si="9"/>
        <v>-10255.724947759416</v>
      </c>
      <c r="AL28" s="62">
        <f t="shared" si="10"/>
        <v>-22986.658558391093</v>
      </c>
      <c r="AM28" s="62">
        <f t="shared" si="11"/>
        <v>-22986.658558391093</v>
      </c>
    </row>
    <row r="29" spans="1:39" x14ac:dyDescent="0.25">
      <c r="A29" s="38">
        <v>2009</v>
      </c>
      <c r="B29" s="146">
        <f>'[1]Capped Flow'!O28</f>
        <v>54636.120000000017</v>
      </c>
      <c r="C29" s="146">
        <f>'[1]Capped Flow'!P28</f>
        <v>66040.920000000027</v>
      </c>
      <c r="D29" s="146">
        <f t="shared" si="3"/>
        <v>11404.80000000001</v>
      </c>
      <c r="E29" s="146">
        <f>IF('[2]Reservoir Evap'!J32&gt;0, '[2]Reservoir Evap'!J32, 0)</f>
        <v>16967.9253962316</v>
      </c>
      <c r="F29" s="146">
        <f>[2]SWCU!J31</f>
        <v>11344.860150000002</v>
      </c>
      <c r="G29" s="146">
        <f>[2]SWCU!K31</f>
        <v>2773.9023000000002</v>
      </c>
      <c r="H29" s="146">
        <f>'[2]GW Depletions'!R36+'[2]GW Depletions'!S36</f>
        <v>15022.774185954637</v>
      </c>
      <c r="J29" s="78">
        <f t="shared" si="4"/>
        <v>57514.262032186249</v>
      </c>
      <c r="K29" s="155">
        <f>'[3]Req Inflow'!K28</f>
        <v>193099.59551017481</v>
      </c>
      <c r="L29" s="155">
        <f>'[3]Req Inflow'!L28</f>
        <v>173257.24179887524</v>
      </c>
      <c r="M29" s="43">
        <f t="shared" si="0"/>
        <v>250613.85754236107</v>
      </c>
      <c r="N29" s="43">
        <f t="shared" si="1"/>
        <v>230771.50383106148</v>
      </c>
      <c r="P29" s="111">
        <f>[2]SWDemand!P35</f>
        <v>22223.341590000011</v>
      </c>
      <c r="Q29" s="111">
        <f>[2]SWDemand!S35</f>
        <v>7039.6062899999961</v>
      </c>
      <c r="R29" s="73">
        <f>'[2]M&amp;I COHYST Summary'!C57</f>
        <v>1922</v>
      </c>
      <c r="S29" s="72">
        <f>MAX([2]GWCU!F33*0.3+[2]GWCU!G33*0.3,H29)</f>
        <v>26257.98231989759</v>
      </c>
      <c r="T29" s="72">
        <f>IF('[3]DS Demand'!O28&gt;0,'[3]DS Demand'!O28,0)</f>
        <v>37062.317471432398</v>
      </c>
      <c r="U29" s="72">
        <f>IF(92*3465&gt;('Lewellen_Irrigation Season'!E29+'Lewellen_Irrigation Season'!B29),('Lewellen_Irrigation Season'!E29+'Lewellen_Irrigation Season'!B29),92*3465)</f>
        <v>215116.30119775486</v>
      </c>
      <c r="V29" s="72">
        <f>MIN(92*3762-'SPlatte_Irrigation Season'!P29,U29)</f>
        <v>191268</v>
      </c>
      <c r="W29" s="73">
        <f>'[2]Net SW Loss'!L34+'[2]Net SW Loss'!M34</f>
        <v>34580.030000650055</v>
      </c>
      <c r="X29" s="111">
        <f t="shared" si="5"/>
        <v>229196.62840934994</v>
      </c>
      <c r="Y29" s="111">
        <f t="shared" si="2"/>
        <v>16967.9253962316</v>
      </c>
      <c r="Z29" s="73">
        <f t="shared" si="6"/>
        <v>215116.30119775486</v>
      </c>
      <c r="AA29" s="73">
        <f t="shared" si="7"/>
        <v>191268</v>
      </c>
      <c r="AB29" s="111">
        <f>'[2]Mac EOM '!F31</f>
        <v>286000</v>
      </c>
      <c r="AC29" s="116"/>
      <c r="AD29" s="62">
        <f>H29+P29+Z29-MIN(AB29,P29+'[2]Net SW Loss'!L34)+R29+Q29+Y29+W29</f>
        <v>258618.27706994108</v>
      </c>
      <c r="AE29" s="62">
        <f>H29+P29+AA29-MIN(AB29,P29+'[2]Net SW Loss'!L34)+R29+Q29+Y29+W29</f>
        <v>234769.97587218622</v>
      </c>
      <c r="AF29" s="62">
        <f>S29+P29+Z29-MIN(AB29,P29+'[2]Net SW Loss'!L34)+R29+Q29+Y29+W29</f>
        <v>269853.48520388402</v>
      </c>
      <c r="AG29" s="62">
        <f>S29+P29+AA29-MIN(AB29,P29+'[2]Net SW Loss'!L34)+R29+Q29+Y29+W29</f>
        <v>246005.18400612919</v>
      </c>
      <c r="AH29" s="83"/>
      <c r="AI29" s="83"/>
      <c r="AJ29" s="62">
        <f t="shared" si="8"/>
        <v>-8004.4195275800012</v>
      </c>
      <c r="AK29" s="62">
        <f t="shared" si="9"/>
        <v>-3998.4720411247399</v>
      </c>
      <c r="AL29" s="62">
        <f t="shared" si="10"/>
        <v>-19239.627661522944</v>
      </c>
      <c r="AM29" s="62">
        <f t="shared" si="11"/>
        <v>-15233.680175067711</v>
      </c>
    </row>
    <row r="30" spans="1:39" x14ac:dyDescent="0.25">
      <c r="A30" s="38">
        <v>2010</v>
      </c>
      <c r="B30" s="146">
        <f>'[1]Capped Flow'!O29</f>
        <v>157259.51999999996</v>
      </c>
      <c r="C30" s="146">
        <f>'[1]Capped Flow'!P29</f>
        <v>164112.30000000002</v>
      </c>
      <c r="D30" s="146">
        <f t="shared" si="3"/>
        <v>6852.780000000057</v>
      </c>
      <c r="E30" s="146">
        <f>IF('[2]Reservoir Evap'!J33&gt;0, '[2]Reservoir Evap'!J33, 0)</f>
        <v>32967.825053073342</v>
      </c>
      <c r="F30" s="146">
        <f>[2]SWCU!J32</f>
        <v>11504.3565</v>
      </c>
      <c r="G30" s="146">
        <f>[2]SWCU!K32</f>
        <v>2719.9282499999999</v>
      </c>
      <c r="H30" s="146">
        <f>'[2]GW Depletions'!R37+'[2]GW Depletions'!S37</f>
        <v>14298.696091946375</v>
      </c>
      <c r="J30" s="78">
        <f t="shared" si="4"/>
        <v>68343.585895019773</v>
      </c>
      <c r="K30" s="155">
        <f>'[3]Req Inflow'!K29</f>
        <v>324291.58147051866</v>
      </c>
      <c r="L30" s="155">
        <f>'[3]Req Inflow'!L29</f>
        <v>206732.7362090603</v>
      </c>
      <c r="M30" s="43">
        <f t="shared" si="0"/>
        <v>392635.16736553842</v>
      </c>
      <c r="N30" s="43">
        <f t="shared" si="1"/>
        <v>275076.32210408006</v>
      </c>
      <c r="P30" s="111">
        <f>[2]SWDemand!P36</f>
        <v>25559.824230000002</v>
      </c>
      <c r="Q30" s="111">
        <f>[2]SWDemand!S36</f>
        <v>8047.8900599999997</v>
      </c>
      <c r="R30" s="73">
        <f>'[2]M&amp;I COHYST Summary'!C58</f>
        <v>1922</v>
      </c>
      <c r="S30" s="72">
        <f>MAX([2]GWCU!F34*0.3+[2]GWCU!G34*0.3,H30)</f>
        <v>30149.759757578358</v>
      </c>
      <c r="T30" s="72">
        <f>IF('[3]DS Demand'!O29&gt;0,'[3]DS Demand'!O29,0)</f>
        <v>16464.472239687711</v>
      </c>
      <c r="U30" s="72">
        <f>IF(92*3465&gt;('Lewellen_Irrigation Season'!E30+'Lewellen_Irrigation Season'!B30),('Lewellen_Irrigation Season'!E30+'Lewellen_Irrigation Season'!B30),92*3465)</f>
        <v>318780</v>
      </c>
      <c r="V30" s="72">
        <f>MIN(92*3762-'SPlatte_Irrigation Season'!P30,U30)</f>
        <v>191268</v>
      </c>
      <c r="W30" s="73">
        <f>'[2]Net SW Loss'!L35+'[2]Net SW Loss'!M35</f>
        <v>34634.59000065006</v>
      </c>
      <c r="X30" s="111">
        <f t="shared" si="5"/>
        <v>363005.58576934994</v>
      </c>
      <c r="Y30" s="111">
        <f t="shared" si="2"/>
        <v>32967.825053073342</v>
      </c>
      <c r="Z30" s="73">
        <f t="shared" si="6"/>
        <v>318780</v>
      </c>
      <c r="AA30" s="73">
        <f t="shared" si="7"/>
        <v>191268</v>
      </c>
      <c r="AB30" s="111">
        <f>'[2]Mac EOM '!F32</f>
        <v>423200</v>
      </c>
      <c r="AC30" s="116"/>
      <c r="AD30" s="62">
        <f>H30+P30+Z30-MIN(AB30,P30+'[2]Net SW Loss'!L35)+R30+Q30+Y30+W30</f>
        <v>378560.86120501976</v>
      </c>
      <c r="AE30" s="62">
        <f>H30+P30+AA30-MIN(AB30,P30+'[2]Net SW Loss'!L35)+R30+Q30+Y30+W30</f>
        <v>251048.86120501973</v>
      </c>
      <c r="AF30" s="62">
        <f>S30+P30+Z30-MIN(AB30,P30+'[2]Net SW Loss'!L35)+R30+Q30+Y30+W30</f>
        <v>394411.92487065168</v>
      </c>
      <c r="AG30" s="62">
        <f>S30+P30+AA30-MIN(AB30,P30+'[2]Net SW Loss'!L35)+R30+Q30+Y30+W30</f>
        <v>266899.92487065168</v>
      </c>
      <c r="AH30" s="83"/>
      <c r="AI30" s="83"/>
      <c r="AJ30" s="62">
        <f t="shared" si="8"/>
        <v>14074.306160518667</v>
      </c>
      <c r="AK30" s="62">
        <f t="shared" si="9"/>
        <v>24027.46089906033</v>
      </c>
      <c r="AL30" s="62">
        <f t="shared" si="10"/>
        <v>-1776.757505113259</v>
      </c>
      <c r="AM30" s="62">
        <f t="shared" si="11"/>
        <v>8176.3972334283753</v>
      </c>
    </row>
    <row r="31" spans="1:39" x14ac:dyDescent="0.25">
      <c r="A31" s="38">
        <v>2011</v>
      </c>
      <c r="B31" s="146">
        <f>'[1]Capped Flow'!O30</f>
        <v>429897.59999999934</v>
      </c>
      <c r="C31" s="146">
        <f>'[1]Capped Flow'!P30</f>
        <v>393465.59999999934</v>
      </c>
      <c r="D31" s="146">
        <f t="shared" si="3"/>
        <v>-36432</v>
      </c>
      <c r="E31" s="146">
        <f>IF('[2]Reservoir Evap'!J34&gt;0, '[2]Reservoir Evap'!J34, 0)</f>
        <v>9366.1461180130445</v>
      </c>
      <c r="F31" s="146">
        <f>[2]SWCU!J33</f>
        <v>11831.233050000001</v>
      </c>
      <c r="G31" s="146">
        <f>[2]SWCU!K33</f>
        <v>2736.3024000000005</v>
      </c>
      <c r="H31" s="146">
        <f>'[2]GW Depletions'!R38+'[2]GW Depletions'!S38</f>
        <v>13864.768844701195</v>
      </c>
      <c r="J31" s="78">
        <f t="shared" si="4"/>
        <v>1366.4504127142391</v>
      </c>
      <c r="K31" s="155">
        <f>'[3]Req Inflow'!K30</f>
        <v>327749.61351502361</v>
      </c>
      <c r="L31" s="155">
        <f>'[3]Req Inflow'!L30</f>
        <v>200391.69932669785</v>
      </c>
      <c r="M31" s="43">
        <f t="shared" si="0"/>
        <v>329116.06392773782</v>
      </c>
      <c r="N31" s="43">
        <f t="shared" si="1"/>
        <v>201758.1497394121</v>
      </c>
      <c r="P31" s="111">
        <f>[2]SWDemand!P37</f>
        <v>19178.580059999993</v>
      </c>
      <c r="Q31" s="111">
        <f>[2]SWDemand!S37</f>
        <v>6240.6783900000064</v>
      </c>
      <c r="R31" s="73">
        <f>'[2]M&amp;I COHYST Summary'!C59</f>
        <v>1922</v>
      </c>
      <c r="S31" s="72">
        <f>MAX([2]GWCU!F35*0.3+[2]GWCU!G35*0.3,H31)</f>
        <v>24815.851034927382</v>
      </c>
      <c r="T31" s="72">
        <f>IF('[3]DS Demand'!O30&gt;0,'[3]DS Demand'!O30,0)</f>
        <v>510.15396656695469</v>
      </c>
      <c r="U31" s="72">
        <f>IF(92*3465&gt;('Lewellen_Irrigation Season'!E31+'Lewellen_Irrigation Season'!B31),('Lewellen_Irrigation Season'!E31+'Lewellen_Irrigation Season'!B31),92*3465)</f>
        <v>318780</v>
      </c>
      <c r="V31" s="72">
        <f>MIN(92*3762-'SPlatte_Irrigation Season'!P31,U31)</f>
        <v>191268</v>
      </c>
      <c r="W31" s="73">
        <f>'[2]Net SW Loss'!L36+'[2]Net SW Loss'!M36</f>
        <v>34634.59000065006</v>
      </c>
      <c r="X31" s="111">
        <f t="shared" si="5"/>
        <v>0</v>
      </c>
      <c r="Y31" s="111">
        <f t="shared" si="2"/>
        <v>9366.1461180130445</v>
      </c>
      <c r="Z31" s="73">
        <f t="shared" si="6"/>
        <v>318780</v>
      </c>
      <c r="AA31" s="73">
        <f t="shared" si="7"/>
        <v>191268</v>
      </c>
      <c r="AB31" s="111">
        <f>'[2]Mac EOM '!F33</f>
        <v>19900</v>
      </c>
      <c r="AC31" s="116"/>
      <c r="AD31" s="62">
        <f>H31+P31+Z31-MIN(AB31,P31+'[2]Net SW Loss'!L36)+R31+Q31+Y31+W31</f>
        <v>384086.7634133643</v>
      </c>
      <c r="AE31" s="62">
        <f>H31+P31+AA31-MIN(AB31,P31+'[2]Net SW Loss'!L36)+R31+Q31+Y31+W31</f>
        <v>256574.7634133643</v>
      </c>
      <c r="AF31" s="62">
        <f>S31+P31+Z31-MIN(AB31,P31+'[2]Net SW Loss'!L36)+R31+Q31+Y31+W31</f>
        <v>395037.84560359048</v>
      </c>
      <c r="AG31" s="62">
        <f>S31+P31+AA31-MIN(AB31,P31+'[2]Net SW Loss'!L36)+R31+Q31+Y31+W31</f>
        <v>267525.84560359048</v>
      </c>
      <c r="AH31" s="83"/>
      <c r="AI31" s="83"/>
      <c r="AJ31" s="62">
        <f t="shared" si="8"/>
        <v>-54970.699485626479</v>
      </c>
      <c r="AK31" s="62">
        <f t="shared" si="9"/>
        <v>-54816.613673952204</v>
      </c>
      <c r="AL31" s="62">
        <f t="shared" si="10"/>
        <v>-65921.781675852661</v>
      </c>
      <c r="AM31" s="62">
        <f t="shared" si="11"/>
        <v>-65767.695864178386</v>
      </c>
    </row>
    <row r="32" spans="1:39" x14ac:dyDescent="0.25">
      <c r="A32" s="38">
        <v>2012</v>
      </c>
      <c r="B32" s="146">
        <f>'[1]Capped Flow'!O31</f>
        <v>229377.06000000003</v>
      </c>
      <c r="C32" s="146">
        <f>'[1]Capped Flow'!P31</f>
        <v>167725.79999999999</v>
      </c>
      <c r="D32" s="146">
        <f t="shared" si="3"/>
        <v>-61651.260000000038</v>
      </c>
      <c r="E32" s="146">
        <f>IF('[2]Reservoir Evap'!J35&gt;0, '[2]Reservoir Evap'!J35, 0)</f>
        <v>0</v>
      </c>
      <c r="F32" s="146">
        <f>[2]SWCU!J34</f>
        <v>13240.519753499993</v>
      </c>
      <c r="G32" s="146">
        <f>[2]SWCU!K34</f>
        <v>5494.4369999999999</v>
      </c>
      <c r="H32" s="146">
        <f>'[2]GW Depletions'!R39+'[2]GW Depletions'!S39</f>
        <v>13447.10475069293</v>
      </c>
      <c r="J32" s="78">
        <f t="shared" si="4"/>
        <v>-29469.198495807119</v>
      </c>
      <c r="K32" s="155">
        <f>'[3]Req Inflow'!K31</f>
        <v>120701.10031937556</v>
      </c>
      <c r="L32" s="155">
        <f>'[3]Req Inflow'!L31</f>
        <v>120701.10031937556</v>
      </c>
      <c r="M32" s="43">
        <f t="shared" si="0"/>
        <v>91231.901823568449</v>
      </c>
      <c r="N32" s="43">
        <f t="shared" si="1"/>
        <v>91231.901823568449</v>
      </c>
      <c r="P32" s="111">
        <f>[2]SWDemand!P38</f>
        <v>20370.030389999989</v>
      </c>
      <c r="Q32" s="111">
        <f>[2]SWDemand!S38</f>
        <v>6564.7652699999953</v>
      </c>
      <c r="R32" s="73">
        <f>'[2]M&amp;I COHYST Summary'!C60</f>
        <v>1922</v>
      </c>
      <c r="S32" s="72">
        <f>MAX([2]GWCU!F36*0.3+[2]GWCU!G36*0.3,H32)</f>
        <v>26642.473947500039</v>
      </c>
      <c r="T32" s="72">
        <f>IF('[3]DS Demand'!O31&gt;0,'[3]DS Demand'!O31,0)</f>
        <v>482837.58387913101</v>
      </c>
      <c r="U32" s="72">
        <f>IF(92*3465&gt;('Lewellen_Irrigation Season'!E32+'Lewellen_Irrigation Season'!B32),('Lewellen_Irrigation Season'!E32+'Lewellen_Irrigation Season'!B32),92*3465)</f>
        <v>120701.10031937556</v>
      </c>
      <c r="V32" s="72">
        <f>MIN(92*3762-'SPlatte_Irrigation Season'!P32,U32)</f>
        <v>120701.10031937556</v>
      </c>
      <c r="W32" s="73">
        <f>'[2]Net SW Loss'!L37+'[2]Net SW Loss'!M37</f>
        <v>34639.810000650054</v>
      </c>
      <c r="X32" s="111">
        <f t="shared" si="5"/>
        <v>0</v>
      </c>
      <c r="Y32" s="111">
        <f t="shared" si="2"/>
        <v>0</v>
      </c>
      <c r="Z32" s="73">
        <f t="shared" si="6"/>
        <v>482837.58387913101</v>
      </c>
      <c r="AA32" s="73">
        <f t="shared" si="7"/>
        <v>482837.58387913101</v>
      </c>
      <c r="AB32" s="111">
        <f>'[2]Mac EOM '!F34</f>
        <v>0</v>
      </c>
      <c r="AC32" s="116"/>
      <c r="AD32" s="62">
        <f>H32+P32+Z32-MIN(AB32,P32+'[2]Net SW Loss'!L37)+R32+Q32+Y32+W32</f>
        <v>559781.29429047392</v>
      </c>
      <c r="AE32" s="62">
        <f>H32+P32+AA32-MIN(AB32,P32+'[2]Net SW Loss'!L37)+R32+Q32+Y32+W32</f>
        <v>559781.29429047392</v>
      </c>
      <c r="AF32" s="62">
        <f>S32+P32+Z32-MIN(AB32,P32+'[2]Net SW Loss'!L37)+R32+Q32+Y32+W32</f>
        <v>572976.66348728095</v>
      </c>
      <c r="AG32" s="62">
        <f>S32+P32+AA32-MIN(AB32,P32+'[2]Net SW Loss'!L37)+R32+Q32+Y32+W32</f>
        <v>572976.66348728095</v>
      </c>
      <c r="AH32" s="83"/>
      <c r="AI32" s="83"/>
      <c r="AJ32" s="62">
        <f t="shared" si="8"/>
        <v>-468549.39246690547</v>
      </c>
      <c r="AK32" s="62">
        <f t="shared" si="9"/>
        <v>-468549.39246690547</v>
      </c>
      <c r="AL32" s="62">
        <f t="shared" si="10"/>
        <v>-481744.7616637125</v>
      </c>
      <c r="AM32" s="62">
        <f t="shared" si="11"/>
        <v>-481744.7616637125</v>
      </c>
    </row>
    <row r="33" spans="1:40" x14ac:dyDescent="0.25">
      <c r="C33" s="15"/>
      <c r="K33" s="8"/>
      <c r="L33" s="8"/>
      <c r="M33" s="3"/>
      <c r="N33" s="102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40" x14ac:dyDescent="0.25">
      <c r="H34"/>
      <c r="K34" s="8"/>
      <c r="L34" s="8"/>
      <c r="M34" s="3"/>
      <c r="N34" s="102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40" x14ac:dyDescent="0.25">
      <c r="A35" s="6" t="s">
        <v>16</v>
      </c>
      <c r="B35" s="18">
        <f>AVERAGE(B8:B32)</f>
        <v>183818.39176799994</v>
      </c>
      <c r="C35" s="18">
        <f t="shared" ref="C35:AM35" si="12">AVERAGE(C8:C32)</f>
        <v>172397.64959999995</v>
      </c>
      <c r="D35" s="18">
        <f t="shared" si="12"/>
        <v>-11420.742167999977</v>
      </c>
      <c r="E35" s="18">
        <f t="shared" si="12"/>
        <v>34851.682172815228</v>
      </c>
      <c r="F35" s="18">
        <f t="shared" si="12"/>
        <v>16036.235332265995</v>
      </c>
      <c r="G35" s="18">
        <f t="shared" si="12"/>
        <v>3365.034828490941</v>
      </c>
      <c r="H35" s="18">
        <f t="shared" si="12"/>
        <v>12343.430633915599</v>
      </c>
      <c r="I35" s="18"/>
      <c r="J35" s="18">
        <f t="shared" si="12"/>
        <v>55175.640799487774</v>
      </c>
      <c r="K35" s="80">
        <f t="shared" si="12"/>
        <v>190121.90380528639</v>
      </c>
      <c r="L35" s="80">
        <f t="shared" si="12"/>
        <v>162012.93499012309</v>
      </c>
      <c r="M35" s="80">
        <f t="shared" si="12"/>
        <v>245297.54460477422</v>
      </c>
      <c r="N35" s="80">
        <f t="shared" si="12"/>
        <v>217188.57578961086</v>
      </c>
      <c r="O35" s="18"/>
      <c r="P35" s="18">
        <f t="shared" si="12"/>
        <v>26135.335203599996</v>
      </c>
      <c r="Q35" s="18">
        <f t="shared" si="12"/>
        <v>5520.1889195999993</v>
      </c>
      <c r="R35" s="18">
        <f t="shared" si="12"/>
        <v>1851.79</v>
      </c>
      <c r="S35" s="18">
        <f t="shared" si="12"/>
        <v>19387.27542225174</v>
      </c>
      <c r="T35" s="18">
        <f t="shared" si="12"/>
        <v>142722.83877741263</v>
      </c>
      <c r="U35" s="18">
        <f t="shared" si="12"/>
        <v>188014.27585004998</v>
      </c>
      <c r="V35" s="18">
        <f t="shared" si="12"/>
        <v>157371.3631329037</v>
      </c>
      <c r="W35" s="18">
        <f t="shared" si="12"/>
        <v>34366.285600583658</v>
      </c>
      <c r="X35" s="18">
        <f t="shared" si="12"/>
        <v>65174.88684816318</v>
      </c>
      <c r="Y35" s="18">
        <f t="shared" si="12"/>
        <v>34851.682172815228</v>
      </c>
      <c r="Z35" s="18">
        <f t="shared" si="12"/>
        <v>245856.04429997978</v>
      </c>
      <c r="AA35" s="18">
        <f t="shared" si="12"/>
        <v>215213.13158283348</v>
      </c>
      <c r="AB35" s="18">
        <f t="shared" si="12"/>
        <v>88948</v>
      </c>
      <c r="AC35" s="18"/>
      <c r="AD35" s="18">
        <f t="shared" si="12"/>
        <v>338170.67647865741</v>
      </c>
      <c r="AE35" s="18">
        <f t="shared" si="12"/>
        <v>307527.76376151113</v>
      </c>
      <c r="AF35" s="18">
        <f t="shared" si="12"/>
        <v>345214.5212669936</v>
      </c>
      <c r="AG35" s="18">
        <f t="shared" si="12"/>
        <v>314571.60854984727</v>
      </c>
      <c r="AH35" s="18"/>
      <c r="AI35" s="18"/>
      <c r="AJ35" s="18">
        <f t="shared" si="12"/>
        <v>-92873.131873883176</v>
      </c>
      <c r="AK35" s="18">
        <f t="shared" si="12"/>
        <v>-90339.187971900261</v>
      </c>
      <c r="AL35" s="18">
        <f t="shared" si="12"/>
        <v>-99916.976662219313</v>
      </c>
      <c r="AM35" s="18">
        <f t="shared" si="12"/>
        <v>-97383.032760236398</v>
      </c>
      <c r="AN35" s="48"/>
    </row>
    <row r="36" spans="1:40" x14ac:dyDescent="0.25">
      <c r="H36"/>
      <c r="Q36" s="16"/>
      <c r="U36" s="116"/>
      <c r="V36" s="116"/>
      <c r="AD36" s="18"/>
      <c r="AJ36" s="48"/>
      <c r="AK36" s="48"/>
      <c r="AL36" s="48"/>
      <c r="AM36" s="48"/>
      <c r="AN36" s="48"/>
    </row>
    <row r="37" spans="1:40" x14ac:dyDescent="0.25">
      <c r="H37"/>
      <c r="U37" s="116"/>
      <c r="V37" s="116"/>
      <c r="AD37" s="18"/>
      <c r="AJ37" s="48"/>
      <c r="AK37" s="48"/>
      <c r="AL37" s="48"/>
      <c r="AM37" s="48"/>
      <c r="AN37" s="48"/>
    </row>
    <row r="38" spans="1:40" x14ac:dyDescent="0.25">
      <c r="H38"/>
    </row>
    <row r="39" spans="1:40" x14ac:dyDescent="0.25">
      <c r="A39" s="6" t="s">
        <v>87</v>
      </c>
      <c r="D39" s="5" t="s">
        <v>70</v>
      </c>
      <c r="E39" s="5"/>
      <c r="F39"/>
      <c r="G39" s="5" t="s">
        <v>72</v>
      </c>
      <c r="H39" s="1"/>
      <c r="J39" s="16" t="s">
        <v>135</v>
      </c>
      <c r="K39" s="161" t="s">
        <v>136</v>
      </c>
    </row>
    <row r="40" spans="1:40" x14ac:dyDescent="0.25">
      <c r="A40" s="71" t="s">
        <v>2</v>
      </c>
      <c r="B40" s="73">
        <f>D35</f>
        <v>-11420.742167999977</v>
      </c>
      <c r="D40" s="75" t="s">
        <v>11</v>
      </c>
      <c r="E40" s="111">
        <f>B41</f>
        <v>12343.430633915599</v>
      </c>
      <c r="G40" s="75" t="s">
        <v>12</v>
      </c>
      <c r="H40" s="111">
        <f>S35</f>
        <v>19387.27542225174</v>
      </c>
      <c r="J40" s="161" t="s">
        <v>137</v>
      </c>
      <c r="K40" s="161" t="s">
        <v>138</v>
      </c>
    </row>
    <row r="41" spans="1:40" x14ac:dyDescent="0.25">
      <c r="A41" s="71" t="s">
        <v>11</v>
      </c>
      <c r="B41" s="73">
        <f>H35</f>
        <v>12343.430633915599</v>
      </c>
      <c r="D41" s="75" t="s">
        <v>13</v>
      </c>
      <c r="E41" s="111">
        <f>P35+Q35</f>
        <v>31655.524123199997</v>
      </c>
      <c r="G41" s="75" t="s">
        <v>13</v>
      </c>
      <c r="H41" s="111">
        <f>E41</f>
        <v>31655.524123199997</v>
      </c>
      <c r="J41" s="161" t="s">
        <v>139</v>
      </c>
      <c r="K41" s="161" t="s">
        <v>140</v>
      </c>
    </row>
    <row r="42" spans="1:40" x14ac:dyDescent="0.25">
      <c r="A42" s="71" t="s">
        <v>3</v>
      </c>
      <c r="B42" s="73">
        <f>F35+G35</f>
        <v>19401.270160756936</v>
      </c>
      <c r="D42" s="71" t="s">
        <v>95</v>
      </c>
      <c r="E42" s="72">
        <f>R35</f>
        <v>1851.79</v>
      </c>
      <c r="G42" s="71" t="s">
        <v>95</v>
      </c>
      <c r="H42" s="72">
        <f>E42</f>
        <v>1851.79</v>
      </c>
      <c r="J42" s="161" t="s">
        <v>141</v>
      </c>
      <c r="K42" s="161" t="s">
        <v>142</v>
      </c>
    </row>
    <row r="43" spans="1:40" x14ac:dyDescent="0.25">
      <c r="A43" s="71" t="s">
        <v>20</v>
      </c>
      <c r="B43" s="72">
        <f>E35</f>
        <v>34851.682172815228</v>
      </c>
      <c r="D43" s="71" t="s">
        <v>20</v>
      </c>
      <c r="E43" s="72">
        <f>E35</f>
        <v>34851.682172815228</v>
      </c>
      <c r="G43" s="71" t="s">
        <v>20</v>
      </c>
      <c r="H43" s="72">
        <f>E43</f>
        <v>34851.682172815228</v>
      </c>
      <c r="J43" s="161" t="s">
        <v>143</v>
      </c>
      <c r="K43" s="161" t="s">
        <v>144</v>
      </c>
    </row>
    <row r="44" spans="1:40" x14ac:dyDescent="0.25">
      <c r="A44" s="71" t="s">
        <v>68</v>
      </c>
      <c r="B44" s="72">
        <f>K35</f>
        <v>190121.90380528639</v>
      </c>
      <c r="D44" s="75" t="s">
        <v>5</v>
      </c>
      <c r="E44" s="111">
        <f>W35</f>
        <v>34366.285600583658</v>
      </c>
      <c r="G44" s="75" t="s">
        <v>5</v>
      </c>
      <c r="H44" s="111">
        <f>E44</f>
        <v>34366.285600583658</v>
      </c>
      <c r="J44" s="161" t="s">
        <v>5</v>
      </c>
      <c r="K44" s="161" t="s">
        <v>145</v>
      </c>
    </row>
    <row r="45" spans="1:40" x14ac:dyDescent="0.25">
      <c r="A45" s="71" t="s">
        <v>22</v>
      </c>
      <c r="B45" s="87">
        <f>SUM(B40:B44)</f>
        <v>245297.54460477419</v>
      </c>
      <c r="D45" s="75" t="s">
        <v>18</v>
      </c>
      <c r="E45" s="72">
        <f>Z35</f>
        <v>245856.04429997978</v>
      </c>
      <c r="G45" s="75" t="s">
        <v>18</v>
      </c>
      <c r="H45" s="72">
        <f>E45</f>
        <v>245856.04429997978</v>
      </c>
      <c r="J45" s="5" t="s">
        <v>146</v>
      </c>
      <c r="K45" s="161" t="s">
        <v>147</v>
      </c>
    </row>
    <row r="46" spans="1:40" x14ac:dyDescent="0.25">
      <c r="D46" s="75" t="s">
        <v>42</v>
      </c>
      <c r="E46" s="111">
        <f>B45-E48</f>
        <v>-55125.591421536432</v>
      </c>
      <c r="G46" s="75" t="s">
        <v>42</v>
      </c>
      <c r="H46" s="111">
        <f>B45-H48</f>
        <v>-62169.436209872569</v>
      </c>
      <c r="J46" s="5" t="s">
        <v>148</v>
      </c>
      <c r="K46" s="161" t="s">
        <v>149</v>
      </c>
    </row>
    <row r="47" spans="1:40" x14ac:dyDescent="0.25">
      <c r="D47" s="75" t="s">
        <v>86</v>
      </c>
      <c r="E47" s="111">
        <f>-MIN(AB35,P35+W35)</f>
        <v>-60501.620804183651</v>
      </c>
      <c r="G47" s="75" t="s">
        <v>86</v>
      </c>
      <c r="H47" s="111">
        <f>E47</f>
        <v>-60501.620804183651</v>
      </c>
      <c r="J47" s="5" t="s">
        <v>150</v>
      </c>
      <c r="K47" s="161" t="s">
        <v>151</v>
      </c>
    </row>
    <row r="48" spans="1:40" x14ac:dyDescent="0.25">
      <c r="A48" s="6" t="s">
        <v>88</v>
      </c>
      <c r="D48" s="75" t="s">
        <v>22</v>
      </c>
      <c r="E48" s="73">
        <f>SUM(E40:E45)+E47</f>
        <v>300423.13602631062</v>
      </c>
      <c r="F48" s="17"/>
      <c r="G48" s="75" t="s">
        <v>22</v>
      </c>
      <c r="H48" s="73">
        <f>SUM(H40:H45)+H47</f>
        <v>307466.98081464675</v>
      </c>
      <c r="I48" s="18"/>
      <c r="J48" s="125" t="s">
        <v>152</v>
      </c>
      <c r="K48" s="125" t="s">
        <v>153</v>
      </c>
    </row>
    <row r="49" spans="1:11" x14ac:dyDescent="0.25">
      <c r="A49" s="71" t="s">
        <v>2</v>
      </c>
      <c r="B49" s="73">
        <f>B40</f>
        <v>-11420.742167999977</v>
      </c>
      <c r="G49" s="6"/>
      <c r="J49" s="125" t="s">
        <v>154</v>
      </c>
      <c r="K49" s="125" t="s">
        <v>155</v>
      </c>
    </row>
    <row r="50" spans="1:11" x14ac:dyDescent="0.25">
      <c r="A50" s="71" t="s">
        <v>11</v>
      </c>
      <c r="B50" s="73">
        <f t="shared" ref="B50:B52" si="13">B41</f>
        <v>12343.430633915599</v>
      </c>
      <c r="D50" s="5" t="s">
        <v>71</v>
      </c>
      <c r="E50" s="5"/>
      <c r="F50" s="114"/>
      <c r="G50" s="5" t="s">
        <v>72</v>
      </c>
      <c r="H50" s="113"/>
    </row>
    <row r="51" spans="1:11" x14ac:dyDescent="0.25">
      <c r="A51" s="71" t="s">
        <v>3</v>
      </c>
      <c r="B51" s="73">
        <f t="shared" si="13"/>
        <v>19401.270160756936</v>
      </c>
      <c r="D51" s="75" t="s">
        <v>11</v>
      </c>
      <c r="E51" s="111">
        <f>E40</f>
        <v>12343.430633915599</v>
      </c>
      <c r="F51" s="113"/>
      <c r="G51" s="75" t="s">
        <v>12</v>
      </c>
      <c r="H51" s="111">
        <f>H40</f>
        <v>19387.27542225174</v>
      </c>
    </row>
    <row r="52" spans="1:11" x14ac:dyDescent="0.25">
      <c r="A52" s="71" t="s">
        <v>20</v>
      </c>
      <c r="B52" s="73">
        <f t="shared" si="13"/>
        <v>34851.682172815228</v>
      </c>
      <c r="D52" s="75" t="s">
        <v>13</v>
      </c>
      <c r="E52" s="111">
        <f>E41</f>
        <v>31655.524123199997</v>
      </c>
      <c r="F52" s="113"/>
      <c r="G52" s="75" t="s">
        <v>13</v>
      </c>
      <c r="H52" s="111">
        <f>H41</f>
        <v>31655.524123199997</v>
      </c>
    </row>
    <row r="53" spans="1:11" x14ac:dyDescent="0.25">
      <c r="A53" s="71" t="s">
        <v>68</v>
      </c>
      <c r="B53" s="72">
        <f>L35</f>
        <v>162012.93499012309</v>
      </c>
      <c r="D53" s="71" t="s">
        <v>95</v>
      </c>
      <c r="E53" s="72">
        <f>E42</f>
        <v>1851.79</v>
      </c>
      <c r="F53" s="124"/>
      <c r="G53" s="71" t="s">
        <v>95</v>
      </c>
      <c r="H53" s="72">
        <f>E53</f>
        <v>1851.79</v>
      </c>
    </row>
    <row r="54" spans="1:11" x14ac:dyDescent="0.25">
      <c r="A54" s="71" t="s">
        <v>22</v>
      </c>
      <c r="B54" s="87">
        <f>SUM(B49:B53)</f>
        <v>217188.57578961088</v>
      </c>
      <c r="D54" s="71" t="s">
        <v>20</v>
      </c>
      <c r="E54" s="72">
        <f>E43</f>
        <v>34851.682172815228</v>
      </c>
      <c r="F54" s="124"/>
      <c r="G54" s="71" t="s">
        <v>20</v>
      </c>
      <c r="H54" s="72">
        <f>E54</f>
        <v>34851.682172815228</v>
      </c>
    </row>
    <row r="55" spans="1:11" x14ac:dyDescent="0.25">
      <c r="D55" s="75" t="s">
        <v>5</v>
      </c>
      <c r="E55" s="111">
        <f>E44</f>
        <v>34366.285600583658</v>
      </c>
      <c r="F55" s="113"/>
      <c r="G55" s="75" t="s">
        <v>5</v>
      </c>
      <c r="H55" s="111">
        <f>H44</f>
        <v>34366.285600583658</v>
      </c>
    </row>
    <row r="56" spans="1:11" x14ac:dyDescent="0.25">
      <c r="D56" s="75" t="s">
        <v>18</v>
      </c>
      <c r="E56" s="72">
        <f>AA35</f>
        <v>215213.13158283348</v>
      </c>
      <c r="F56" s="113"/>
      <c r="G56" s="75" t="s">
        <v>18</v>
      </c>
      <c r="H56" s="72">
        <f>AA35</f>
        <v>215213.13158283348</v>
      </c>
    </row>
    <row r="57" spans="1:11" x14ac:dyDescent="0.25">
      <c r="D57" s="75" t="s">
        <v>42</v>
      </c>
      <c r="E57" s="111">
        <f>B54-E59</f>
        <v>-52591.6475195534</v>
      </c>
      <c r="F57" s="113"/>
      <c r="G57" s="75" t="s">
        <v>42</v>
      </c>
      <c r="H57" s="111">
        <f>B54-H59</f>
        <v>-59635.492307889595</v>
      </c>
    </row>
    <row r="58" spans="1:11" x14ac:dyDescent="0.25">
      <c r="D58" s="75" t="s">
        <v>86</v>
      </c>
      <c r="E58" s="111">
        <f>E47</f>
        <v>-60501.620804183651</v>
      </c>
      <c r="F58" s="113"/>
      <c r="G58" s="75" t="s">
        <v>86</v>
      </c>
      <c r="H58" s="111">
        <f>H47</f>
        <v>-60501.620804183651</v>
      </c>
    </row>
    <row r="59" spans="1:11" x14ac:dyDescent="0.25">
      <c r="D59" s="75" t="s">
        <v>22</v>
      </c>
      <c r="E59" s="73">
        <f>SUM(E51:E56)+E58</f>
        <v>269780.22330916428</v>
      </c>
      <c r="G59" s="75" t="s">
        <v>22</v>
      </c>
      <c r="H59" s="73">
        <f>SUM(H51:H56)+H58</f>
        <v>276824.06809750048</v>
      </c>
    </row>
    <row r="60" spans="1:11" x14ac:dyDescent="0.25">
      <c r="H60"/>
    </row>
    <row r="61" spans="1:11" x14ac:dyDescent="0.25">
      <c r="H61"/>
    </row>
    <row r="62" spans="1:11" x14ac:dyDescent="0.25">
      <c r="H62"/>
    </row>
  </sheetData>
  <mergeCells count="1">
    <mergeCell ref="A6:A7"/>
  </mergeCells>
  <printOptions gridLines="1"/>
  <pageMargins left="0.7" right="0.7" top="0.75" bottom="0.75" header="0.3" footer="0.3"/>
  <pageSetup scale="11" orientation="portrait" r:id="rId1"/>
  <ignoredErrors>
    <ignoredError sqref="AK9:AK32 H4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AP59"/>
  <sheetViews>
    <sheetView showGridLines="0" zoomScale="80" zoomScaleNormal="80" workbookViewId="0"/>
  </sheetViews>
  <sheetFormatPr defaultRowHeight="15" x14ac:dyDescent="0.25"/>
  <cols>
    <col min="1" max="1" width="14.140625" customWidth="1"/>
    <col min="2" max="2" width="20.5703125" customWidth="1"/>
    <col min="3" max="3" width="12.85546875" bestFit="1" customWidth="1"/>
    <col min="4" max="4" width="21.28515625" style="90" bestFit="1" customWidth="1"/>
    <col min="5" max="5" width="21" bestFit="1" customWidth="1"/>
    <col min="6" max="6" width="19.140625" bestFit="1" customWidth="1"/>
    <col min="7" max="7" width="21.28515625" style="91" bestFit="1" customWidth="1"/>
    <col min="8" max="8" width="21.28515625" bestFit="1" customWidth="1"/>
    <col min="9" max="9" width="21" customWidth="1"/>
    <col min="10" max="10" width="22" style="11" customWidth="1"/>
    <col min="11" max="11" width="17.85546875" style="11" bestFit="1" customWidth="1"/>
    <col min="12" max="12" width="19.28515625" bestFit="1" customWidth="1"/>
    <col min="13" max="13" width="13.140625" style="1" customWidth="1"/>
    <col min="14" max="14" width="24.140625" style="46" customWidth="1"/>
    <col min="15" max="15" width="24.140625" style="124" customWidth="1"/>
    <col min="16" max="16" width="16.42578125" style="7" bestFit="1" customWidth="1"/>
    <col min="17" max="17" width="16.42578125" style="104" customWidth="1"/>
    <col min="18" max="18" width="16.42578125" style="7" customWidth="1"/>
    <col min="19" max="19" width="16.42578125" style="104" customWidth="1"/>
    <col min="20" max="20" width="20" style="7" customWidth="1"/>
    <col min="21" max="21" width="20" style="104" customWidth="1"/>
    <col min="22" max="22" width="28.5703125" style="7" bestFit="1" customWidth="1"/>
    <col min="23" max="23" width="22.85546875" style="7" customWidth="1"/>
    <col min="24" max="24" width="18.7109375" style="7" customWidth="1"/>
    <col min="25" max="25" width="18.7109375" style="104" customWidth="1"/>
    <col min="26" max="27" width="18.7109375" style="7" customWidth="1"/>
    <col min="28" max="28" width="18.7109375" style="104" customWidth="1"/>
    <col min="29" max="31" width="18.140625" style="7" customWidth="1"/>
    <col min="32" max="32" width="18.5703125" customWidth="1"/>
    <col min="33" max="33" width="17" customWidth="1"/>
    <col min="34" max="34" width="14.140625" customWidth="1"/>
    <col min="35" max="35" width="14.85546875" bestFit="1" customWidth="1"/>
    <col min="36" max="36" width="19.5703125" bestFit="1" customWidth="1"/>
    <col min="37" max="37" width="20.28515625" customWidth="1"/>
  </cols>
  <sheetData>
    <row r="1" spans="1:42" s="161" customFormat="1" x14ac:dyDescent="0.25">
      <c r="A1" s="6" t="s">
        <v>108</v>
      </c>
      <c r="B1" s="162">
        <v>43262</v>
      </c>
      <c r="J1" s="125"/>
      <c r="K1" s="125"/>
      <c r="M1" s="127"/>
      <c r="N1" s="127"/>
      <c r="O1" s="127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42" s="161" customFormat="1" x14ac:dyDescent="0.25">
      <c r="A2" s="6" t="s">
        <v>109</v>
      </c>
      <c r="B2" s="6" t="s">
        <v>110</v>
      </c>
      <c r="J2" s="125"/>
      <c r="K2" s="125"/>
      <c r="M2" s="127"/>
      <c r="N2" s="127"/>
      <c r="O2" s="127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42" x14ac:dyDescent="0.25">
      <c r="A3" t="s">
        <v>24</v>
      </c>
      <c r="P3"/>
      <c r="Q3" s="126"/>
      <c r="R3" s="100"/>
      <c r="S3" s="126"/>
      <c r="T3" s="100"/>
      <c r="U3" s="126"/>
    </row>
    <row r="4" spans="1:42" x14ac:dyDescent="0.25">
      <c r="A4" t="s">
        <v>17</v>
      </c>
      <c r="P4"/>
      <c r="Q4" s="126"/>
      <c r="R4" s="100"/>
      <c r="S4" s="126"/>
      <c r="T4" s="100"/>
      <c r="U4" s="126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</row>
    <row r="5" spans="1:42" x14ac:dyDescent="0.25">
      <c r="AF5" s="6"/>
      <c r="AG5" s="6"/>
      <c r="AH5" s="6"/>
    </row>
    <row r="6" spans="1:42" s="12" customFormat="1" ht="30" x14ac:dyDescent="0.25">
      <c r="A6" s="185" t="s">
        <v>1</v>
      </c>
      <c r="B6" s="163" t="s">
        <v>123</v>
      </c>
      <c r="C6" s="163" t="s">
        <v>124</v>
      </c>
      <c r="D6" s="163" t="s">
        <v>54</v>
      </c>
      <c r="E6" s="163" t="s">
        <v>98</v>
      </c>
      <c r="F6" s="163" t="s">
        <v>11</v>
      </c>
      <c r="G6" s="163" t="s">
        <v>20</v>
      </c>
      <c r="H6" s="164" t="s">
        <v>3</v>
      </c>
      <c r="I6" s="130"/>
      <c r="J6" s="163" t="s">
        <v>118</v>
      </c>
      <c r="K6" s="163" t="s">
        <v>93</v>
      </c>
      <c r="L6" s="163" t="s">
        <v>56</v>
      </c>
      <c r="N6" s="166" t="s">
        <v>69</v>
      </c>
      <c r="O6" s="166" t="s">
        <v>95</v>
      </c>
      <c r="P6" s="166" t="s">
        <v>12</v>
      </c>
      <c r="Q6" s="166" t="s">
        <v>55</v>
      </c>
      <c r="R6" s="166" t="s">
        <v>57</v>
      </c>
      <c r="S6" s="166" t="s">
        <v>101</v>
      </c>
      <c r="T6" s="166" t="s">
        <v>58</v>
      </c>
      <c r="U6" s="166" t="s">
        <v>100</v>
      </c>
      <c r="V6" s="166" t="s">
        <v>82</v>
      </c>
      <c r="W6" s="166" t="s">
        <v>44</v>
      </c>
      <c r="X6" s="166" t="s">
        <v>53</v>
      </c>
      <c r="Y6" s="166" t="s">
        <v>102</v>
      </c>
      <c r="Z6" s="166" t="s">
        <v>59</v>
      </c>
      <c r="AA6" s="166" t="s">
        <v>60</v>
      </c>
      <c r="AB6" s="166" t="s">
        <v>20</v>
      </c>
      <c r="AC6" s="166" t="s">
        <v>5</v>
      </c>
      <c r="AD6" s="166" t="s">
        <v>18</v>
      </c>
      <c r="AE6" s="130"/>
      <c r="AF6" s="166" t="s">
        <v>6</v>
      </c>
      <c r="AG6" s="166" t="s">
        <v>7</v>
      </c>
      <c r="AH6" s="130"/>
      <c r="AI6" s="166" t="s">
        <v>36</v>
      </c>
      <c r="AJ6" s="166" t="s">
        <v>37</v>
      </c>
    </row>
    <row r="7" spans="1:42" s="12" customFormat="1" ht="15" customHeigh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64" t="s">
        <v>8</v>
      </c>
      <c r="G7" s="164" t="s">
        <v>8</v>
      </c>
      <c r="H7" s="164" t="s">
        <v>8</v>
      </c>
      <c r="I7" s="130"/>
      <c r="J7" s="164" t="s">
        <v>8</v>
      </c>
      <c r="K7" s="164" t="s">
        <v>8</v>
      </c>
      <c r="L7" s="164" t="s">
        <v>8</v>
      </c>
      <c r="N7" s="164" t="s">
        <v>8</v>
      </c>
      <c r="O7" s="166" t="s">
        <v>96</v>
      </c>
      <c r="P7" s="164" t="s">
        <v>8</v>
      </c>
      <c r="Q7" s="164" t="s">
        <v>8</v>
      </c>
      <c r="R7" s="164" t="s">
        <v>8</v>
      </c>
      <c r="S7" s="164" t="s">
        <v>8</v>
      </c>
      <c r="T7" s="164" t="s">
        <v>8</v>
      </c>
      <c r="U7" s="164" t="s">
        <v>8</v>
      </c>
      <c r="V7" s="164" t="s">
        <v>8</v>
      </c>
      <c r="W7" s="164" t="s">
        <v>8</v>
      </c>
      <c r="X7" s="164" t="s">
        <v>8</v>
      </c>
      <c r="Y7" s="164" t="s">
        <v>8</v>
      </c>
      <c r="Z7" s="164" t="s">
        <v>8</v>
      </c>
      <c r="AA7" s="164" t="s">
        <v>8</v>
      </c>
      <c r="AB7" s="164" t="s">
        <v>8</v>
      </c>
      <c r="AC7" s="164" t="s">
        <v>8</v>
      </c>
      <c r="AD7" s="164" t="s">
        <v>8</v>
      </c>
      <c r="AE7" s="130"/>
      <c r="AF7" s="164" t="s">
        <v>8</v>
      </c>
      <c r="AG7" s="164" t="s">
        <v>8</v>
      </c>
      <c r="AH7" s="130"/>
      <c r="AI7" s="164" t="s">
        <v>8</v>
      </c>
      <c r="AJ7" s="164" t="s">
        <v>8</v>
      </c>
    </row>
    <row r="8" spans="1:42" x14ac:dyDescent="0.25">
      <c r="A8" s="38">
        <v>1988</v>
      </c>
      <c r="B8" s="146">
        <f>'[1]Capped Flow'!E7</f>
        <v>974938.1399999999</v>
      </c>
      <c r="C8" s="146">
        <f>'[1]Capped Flow'!H7</f>
        <v>1084501.4399999995</v>
      </c>
      <c r="D8" s="146">
        <f>'[1]Upper Platte Gage Data'!B8</f>
        <v>67129.919999999998</v>
      </c>
      <c r="E8" s="146">
        <f>C8-B8+D8</f>
        <v>176693.21999999956</v>
      </c>
      <c r="F8" s="146">
        <f>'[2]GW Depletions'!F15+'[2]GW Depletions'!E15</f>
        <v>75457.952133011917</v>
      </c>
      <c r="G8" s="146">
        <f>IF('[2]Reservoir Evap'!D11&gt;0, '[2]Reservoir Evap'!D11,0)</f>
        <v>960.22674258544362</v>
      </c>
      <c r="H8" s="146">
        <f>[2]SWCU!E10</f>
        <v>7384.6284785249045</v>
      </c>
      <c r="J8" s="78">
        <f t="shared" ref="J8:J32" si="0">SUM(E8:H8)</f>
        <v>260496.02735412185</v>
      </c>
      <c r="K8" s="154">
        <f>'[3]Req Inflow'!D7</f>
        <v>959677.81091231725</v>
      </c>
      <c r="L8" s="154">
        <f t="shared" ref="L8:L32" si="1">J8+K8</f>
        <v>1220173.838266439</v>
      </c>
      <c r="M8" s="17"/>
      <c r="N8" s="72">
        <f>[2]SWDemand!G14</f>
        <v>4614.4742499999984</v>
      </c>
      <c r="O8" s="156">
        <f>'[2]M&amp;I COHYST Summary'!E8</f>
        <v>2833.43</v>
      </c>
      <c r="P8" s="72">
        <f>MAX([2]GWCU!J12*0.7+[2]GWCU!I12*0.7+[2]GWCU!H12*0.7,F8)</f>
        <v>177550.06435249996</v>
      </c>
      <c r="Q8" s="72">
        <f>MIN(B8+'NorthPlatte_NonIRR Season'!E8+'Lewellen_NonIrrigation Season'!C8+'SPlatte_NonIrrigation Season'!F8,'[2]Hydro Demand'!$B$23)</f>
        <v>1099324.7186470469</v>
      </c>
      <c r="R8" s="72">
        <f>[2]SWDemand!D14</f>
        <v>7597.2512699999788</v>
      </c>
      <c r="S8" s="72">
        <f>'[2]Net SW Loss'!G13</f>
        <v>202267.52999704191</v>
      </c>
      <c r="T8" s="72">
        <f t="shared" ref="T8:T32" si="2">Q8-R8-S8</f>
        <v>889459.93738000514</v>
      </c>
      <c r="U8" s="72">
        <f>'[1]Upper Platte Gage Data'!E8</f>
        <v>7157.7000000000007</v>
      </c>
      <c r="V8" s="72">
        <f>IF('[3]DS Demand'!F7&gt;0, '[3]DS Demand'!F7,0)</f>
        <v>889459.93738000514</v>
      </c>
      <c r="W8" s="72">
        <f>'[4]Odessa Instream Flow Calc'!B7</f>
        <v>222237.04545801994</v>
      </c>
      <c r="X8" s="72">
        <f>MIN('[1]Capped Flow'!G7+'NorthPlatte_NonIRR Season'!E8+'Lewellen_NonIrrigation Season'!C8+'SPlatte_NonIrrigation Season'!F8+'[2]GW Depletions'!E15,'[2]Hydro Demand'!$B$16)</f>
        <v>216216</v>
      </c>
      <c r="Y8" s="72">
        <f>'[2]Net SW Loss'!F13</f>
        <v>53.100000009000006</v>
      </c>
      <c r="Z8" s="72">
        <f>[2]SWDemand!H14</f>
        <v>369.00049000000035</v>
      </c>
      <c r="AA8" s="72">
        <f>X8-Z8-Y8</f>
        <v>215793.899509991</v>
      </c>
      <c r="AB8" s="72">
        <f t="shared" ref="AB8:AB32" si="3">G8</f>
        <v>960.22674258544362</v>
      </c>
      <c r="AC8" s="111">
        <f>'[2]Net SW Loss'!E13+S8+Y8</f>
        <v>218716.30999655891</v>
      </c>
      <c r="AD8" s="73">
        <f t="shared" ref="AD8:AD32" si="4">MAX(V8,W8,AA8,T8)</f>
        <v>889459.93738000514</v>
      </c>
      <c r="AE8" s="19"/>
      <c r="AF8" s="73">
        <f t="shared" ref="AF8:AF32" si="5">F8+N8+AC8+AD8+R8+Z8+O8+G8</f>
        <v>1200008.5822621612</v>
      </c>
      <c r="AG8" s="73">
        <f t="shared" ref="AG8:AG32" si="6">N8+P8+AC8+AD8+R8+Z8+O8+G8</f>
        <v>1302100.6944816492</v>
      </c>
      <c r="AH8" s="138"/>
      <c r="AI8" s="87">
        <f t="shared" ref="AI8:AI32" si="7">$L8-AF8</f>
        <v>20165.25600427785</v>
      </c>
      <c r="AJ8" s="87">
        <f t="shared" ref="AJ8:AJ32" si="8">$L8-AG8</f>
        <v>-81926.856215210166</v>
      </c>
    </row>
    <row r="9" spans="1:42" x14ac:dyDescent="0.25">
      <c r="A9" s="38">
        <v>1989</v>
      </c>
      <c r="B9" s="146">
        <f>'[1]Capped Flow'!E8</f>
        <v>661191.30000000005</v>
      </c>
      <c r="C9" s="146">
        <f>'[1]Capped Flow'!H8</f>
        <v>613000.08000000007</v>
      </c>
      <c r="D9" s="146">
        <f>'[1]Upper Platte Gage Data'!B9</f>
        <v>37378.341</v>
      </c>
      <c r="E9" s="146">
        <f t="shared" ref="E9:E32" si="9">C9-B9+D9</f>
        <v>-10812.878999999972</v>
      </c>
      <c r="F9" s="146">
        <f>'[2]GW Depletions'!F16+'[2]GW Depletions'!E16</f>
        <v>77276.801577949955</v>
      </c>
      <c r="G9" s="146">
        <f>IF('[2]Reservoir Evap'!D12&gt;0, '[2]Reservoir Evap'!D12,0)</f>
        <v>900.01462776239089</v>
      </c>
      <c r="H9" s="146">
        <f>[2]SWCU!E11</f>
        <v>7591.5789495012796</v>
      </c>
      <c r="J9" s="78">
        <f t="shared" si="0"/>
        <v>74955.516155213641</v>
      </c>
      <c r="K9" s="154">
        <f>'[3]Req Inflow'!D8</f>
        <v>769181.60095861426</v>
      </c>
      <c r="L9" s="154">
        <f t="shared" si="1"/>
        <v>844137.11711382796</v>
      </c>
      <c r="M9" s="17"/>
      <c r="N9" s="72">
        <f>[2]SWDemand!G15</f>
        <v>6232.5879000000014</v>
      </c>
      <c r="O9" s="156">
        <f>'[2]M&amp;I COHYST Summary'!E9</f>
        <v>2975.59</v>
      </c>
      <c r="P9" s="72">
        <f>MAX([2]GWCU!J13*0.7+[2]GWCU!I13*0.7+[2]GWCU!H13*0.7,F9)</f>
        <v>219595.4955541665</v>
      </c>
      <c r="Q9" s="72">
        <f>MIN(B9+'NorthPlatte_NonIRR Season'!E9+'Lewellen_NonIrrigation Season'!C9+'SPlatte_NonIrrigation Season'!F9,'[2]Hydro Demand'!$B$23)</f>
        <v>789999.7043283917</v>
      </c>
      <c r="R9" s="72">
        <f>[2]SWDemand!D15</f>
        <v>6813.0276599999925</v>
      </c>
      <c r="S9" s="72">
        <f>'[2]Net SW Loss'!G14</f>
        <v>150004.71999679212</v>
      </c>
      <c r="T9" s="72">
        <f t="shared" si="2"/>
        <v>633181.95667159953</v>
      </c>
      <c r="U9" s="72">
        <f>'[1]Upper Platte Gage Data'!E9</f>
        <v>18151.848000000005</v>
      </c>
      <c r="V9" s="72">
        <f>IF('[3]DS Demand'!F8&gt;0, '[3]DS Demand'!F8,0)</f>
        <v>633181.95667159953</v>
      </c>
      <c r="W9" s="72">
        <f>'[4]Odessa Instream Flow Calc'!B8</f>
        <v>158872.27015026912</v>
      </c>
      <c r="X9" s="72">
        <f>MIN('[1]Capped Flow'!G8+'NorthPlatte_NonIRR Season'!E9+'Lewellen_NonIrrigation Season'!C9+'SPlatte_NonIrrigation Season'!F9+'[2]GW Depletions'!E16,'[2]Hydro Demand'!$B$16)</f>
        <v>216216</v>
      </c>
      <c r="Y9" s="72">
        <f>'[2]Net SW Loss'!F14</f>
        <v>51.329999995999998</v>
      </c>
      <c r="Z9" s="72">
        <f>[2]SWDemand!H15</f>
        <v>251.76255</v>
      </c>
      <c r="AA9" s="72">
        <f t="shared" ref="AA9:AA32" si="10">X9-Z9-Y9</f>
        <v>215912.90745000399</v>
      </c>
      <c r="AB9" s="72">
        <f t="shared" si="3"/>
        <v>900.01462776239089</v>
      </c>
      <c r="AC9" s="111">
        <f>'[2]Net SW Loss'!E14+S9+Y9</f>
        <v>165594.86999644313</v>
      </c>
      <c r="AD9" s="73">
        <f t="shared" si="4"/>
        <v>633181.95667159953</v>
      </c>
      <c r="AE9" s="19"/>
      <c r="AF9" s="73">
        <f t="shared" si="5"/>
        <v>893226.61098375497</v>
      </c>
      <c r="AG9" s="73">
        <f t="shared" si="6"/>
        <v>1035545.3049599716</v>
      </c>
      <c r="AI9" s="151">
        <f t="shared" si="7"/>
        <v>-49089.493869927013</v>
      </c>
      <c r="AJ9" s="151">
        <f t="shared" si="8"/>
        <v>-191408.18784614361</v>
      </c>
    </row>
    <row r="10" spans="1:42" x14ac:dyDescent="0.25">
      <c r="A10" s="38">
        <v>1990</v>
      </c>
      <c r="B10" s="146">
        <f>'[1]Capped Flow'!E9</f>
        <v>650067.66</v>
      </c>
      <c r="C10" s="146">
        <f>'[1]Capped Flow'!H9</f>
        <v>640151.82000000007</v>
      </c>
      <c r="D10" s="146">
        <f>'[1]Upper Platte Gage Data'!B10</f>
        <v>41125.590000000004</v>
      </c>
      <c r="E10" s="146">
        <f t="shared" si="9"/>
        <v>31209.750000000036</v>
      </c>
      <c r="F10" s="146">
        <f>'[2]GW Depletions'!F17+'[2]GW Depletions'!E17</f>
        <v>84424.896431749308</v>
      </c>
      <c r="G10" s="146">
        <f>IF('[2]Reservoir Evap'!D13&gt;0, '[2]Reservoir Evap'!D13,0)</f>
        <v>734.85849895368631</v>
      </c>
      <c r="H10" s="146">
        <f>[2]SWCU!E12</f>
        <v>9113.5552040438088</v>
      </c>
      <c r="J10" s="78">
        <f t="shared" si="0"/>
        <v>125483.06013474683</v>
      </c>
      <c r="K10" s="154">
        <f>'[3]Req Inflow'!D9</f>
        <v>750713.84807331243</v>
      </c>
      <c r="L10" s="154">
        <f t="shared" si="1"/>
        <v>876196.90820805926</v>
      </c>
      <c r="M10" s="17"/>
      <c r="N10" s="72">
        <f>[2]SWDemand!G16</f>
        <v>6420.6542200000013</v>
      </c>
      <c r="O10" s="156">
        <f>'[2]M&amp;I COHYST Summary'!E10</f>
        <v>3133.5499999999993</v>
      </c>
      <c r="P10" s="72">
        <f>MAX([2]GWCU!J14*0.7+[2]GWCU!I14*0.7+[2]GWCU!H14*0.7,F10)</f>
        <v>236810.20539749981</v>
      </c>
      <c r="Q10" s="72">
        <f>MIN(B10+'NorthPlatte_NonIRR Season'!E10+'Lewellen_NonIrrigation Season'!C10+'SPlatte_NonIrrigation Season'!F10,'[2]Hydro Demand'!$B$23)</f>
        <v>800217.42806093837</v>
      </c>
      <c r="R10" s="72">
        <f>[2]SWDemand!D16</f>
        <v>8716.8681700000161</v>
      </c>
      <c r="S10" s="72">
        <f>'[2]Net SW Loss'!G15</f>
        <v>160778.79000218993</v>
      </c>
      <c r="T10" s="72">
        <f t="shared" si="2"/>
        <v>630721.76988874841</v>
      </c>
      <c r="U10" s="72">
        <f>'[1]Upper Platte Gage Data'!E10</f>
        <v>8095.0320000000002</v>
      </c>
      <c r="V10" s="72">
        <f>IF('[3]DS Demand'!F9&gt;0, '[3]DS Demand'!F9,0)</f>
        <v>630721.76988874841</v>
      </c>
      <c r="W10" s="72">
        <f>'[4]Odessa Instream Flow Calc'!B9</f>
        <v>153138.46250864305</v>
      </c>
      <c r="X10" s="72">
        <f>MIN('[1]Capped Flow'!G9+'NorthPlatte_NonIRR Season'!E10+'Lewellen_NonIrrigation Season'!C10+'SPlatte_NonIrrigation Season'!F10+'[2]GW Depletions'!E17,'[2]Hydro Demand'!$B$16)</f>
        <v>216216</v>
      </c>
      <c r="Y10" s="72">
        <f>'[2]Net SW Loss'!F15</f>
        <v>63.659999993000064</v>
      </c>
      <c r="Z10" s="72">
        <f>[2]SWDemand!H16</f>
        <v>353.51009000000033</v>
      </c>
      <c r="AA10" s="72">
        <f t="shared" si="10"/>
        <v>215798.82991000701</v>
      </c>
      <c r="AB10" s="72">
        <f t="shared" si="3"/>
        <v>734.85849895368631</v>
      </c>
      <c r="AC10" s="111">
        <f>'[2]Net SW Loss'!E15+S10+Y10</f>
        <v>176776.41000224793</v>
      </c>
      <c r="AD10" s="73">
        <f t="shared" si="4"/>
        <v>630721.76988874841</v>
      </c>
      <c r="AE10" s="19"/>
      <c r="AF10" s="73">
        <f t="shared" si="5"/>
        <v>911282.51730169938</v>
      </c>
      <c r="AG10" s="73">
        <f t="shared" si="6"/>
        <v>1063667.8262674499</v>
      </c>
      <c r="AI10" s="151">
        <f t="shared" si="7"/>
        <v>-35085.609093640116</v>
      </c>
      <c r="AJ10" s="151">
        <f t="shared" si="8"/>
        <v>-187470.91805939062</v>
      </c>
    </row>
    <row r="11" spans="1:42" x14ac:dyDescent="0.25">
      <c r="A11" s="38">
        <v>1991</v>
      </c>
      <c r="B11" s="146">
        <f>'[1]Capped Flow'!E10</f>
        <v>527173.0199999999</v>
      </c>
      <c r="C11" s="146">
        <f>'[1]Capped Flow'!H10</f>
        <v>493136.81999999983</v>
      </c>
      <c r="D11" s="146">
        <f>'[1]Upper Platte Gage Data'!B11</f>
        <v>36061.740000000005</v>
      </c>
      <c r="E11" s="146">
        <f t="shared" si="9"/>
        <v>2025.5399999999354</v>
      </c>
      <c r="F11" s="146">
        <f>'[2]GW Depletions'!F18+'[2]GW Depletions'!E18</f>
        <v>90960.251517309458</v>
      </c>
      <c r="G11" s="146">
        <f>IF('[2]Reservoir Evap'!D14&gt;0, '[2]Reservoir Evap'!D14,0)</f>
        <v>672.92866201061281</v>
      </c>
      <c r="H11" s="146">
        <f>[2]SWCU!E13</f>
        <v>8136.1930389744102</v>
      </c>
      <c r="J11" s="78">
        <f t="shared" si="0"/>
        <v>101794.91321829442</v>
      </c>
      <c r="K11" s="154">
        <f>'[3]Req Inflow'!D10</f>
        <v>644327.56529808161</v>
      </c>
      <c r="L11" s="154">
        <f t="shared" si="1"/>
        <v>746122.478516376</v>
      </c>
      <c r="M11" s="17"/>
      <c r="N11" s="72">
        <f>[2]SWDemand!G17</f>
        <v>5097.2729000000036</v>
      </c>
      <c r="O11" s="156">
        <f>'[2]M&amp;I COHYST Summary'!E11</f>
        <v>3189.7299999999996</v>
      </c>
      <c r="P11" s="72">
        <f>MAX([2]GWCU!J15*0.7+[2]GWCU!I15*0.7+[2]GWCU!H15*0.7,F11)</f>
        <v>202865.76682749984</v>
      </c>
      <c r="Q11" s="72">
        <f>MIN(B11+'NorthPlatte_NonIRR Season'!E11+'Lewellen_NonIrrigation Season'!C11+'SPlatte_NonIrrigation Season'!F11,'[2]Hydro Demand'!$B$23)</f>
        <v>678812.8941280623</v>
      </c>
      <c r="R11" s="72">
        <f>[2]SWDemand!D17</f>
        <v>8305.2335700000112</v>
      </c>
      <c r="S11" s="72">
        <f>'[2]Net SW Loss'!G16</f>
        <v>131316.13999926002</v>
      </c>
      <c r="T11" s="72">
        <f t="shared" si="2"/>
        <v>539191.52055880218</v>
      </c>
      <c r="U11" s="72">
        <f>'[1]Upper Platte Gage Data'!E11</f>
        <v>9842.3820000000014</v>
      </c>
      <c r="V11" s="72">
        <f>IF('[3]DS Demand'!F10&gt;0, '[3]DS Demand'!F10,0)</f>
        <v>539191.52055880218</v>
      </c>
      <c r="W11" s="72">
        <f>'[4]Odessa Instream Flow Calc'!B10</f>
        <v>135263.17577344878</v>
      </c>
      <c r="X11" s="72">
        <f>MIN('[1]Capped Flow'!G10+'NorthPlatte_NonIRR Season'!E11+'Lewellen_NonIrrigation Season'!C11+'SPlatte_NonIrrigation Season'!F11+'[2]GW Depletions'!E18,'[2]Hydro Demand'!$B$16)</f>
        <v>216216</v>
      </c>
      <c r="Y11" s="72">
        <f>'[2]Net SW Loss'!F16</f>
        <v>40.060000000000038</v>
      </c>
      <c r="Z11" s="72">
        <f>[2]SWDemand!H17</f>
        <v>393.49568999999968</v>
      </c>
      <c r="AA11" s="72">
        <f t="shared" si="10"/>
        <v>215782.44430999999</v>
      </c>
      <c r="AB11" s="72">
        <f t="shared" si="3"/>
        <v>672.92866201061281</v>
      </c>
      <c r="AC11" s="111">
        <f>'[2]Net SW Loss'!E16+S11+Y11</f>
        <v>146576.10999932303</v>
      </c>
      <c r="AD11" s="73">
        <f t="shared" si="4"/>
        <v>539191.52055880218</v>
      </c>
      <c r="AE11" s="19"/>
      <c r="AF11" s="73">
        <f t="shared" si="5"/>
        <v>794386.54289744527</v>
      </c>
      <c r="AG11" s="73">
        <f t="shared" si="6"/>
        <v>906292.05820763565</v>
      </c>
      <c r="AI11" s="151">
        <f t="shared" si="7"/>
        <v>-48264.064381069271</v>
      </c>
      <c r="AJ11" s="151">
        <f t="shared" si="8"/>
        <v>-160169.57969125966</v>
      </c>
    </row>
    <row r="12" spans="1:42" x14ac:dyDescent="0.25">
      <c r="A12" s="38">
        <v>1992</v>
      </c>
      <c r="B12" s="146">
        <f>'[1]Capped Flow'!E11</f>
        <v>589919.2200000002</v>
      </c>
      <c r="C12" s="146">
        <f>'[1]Capped Flow'!H11</f>
        <v>562506.12000000034</v>
      </c>
      <c r="D12" s="146">
        <f>'[1]Upper Platte Gage Data'!B12</f>
        <v>19011.960000000003</v>
      </c>
      <c r="E12" s="146">
        <f t="shared" si="9"/>
        <v>-8401.1399999998575</v>
      </c>
      <c r="F12" s="146">
        <f>'[2]GW Depletions'!F19+'[2]GW Depletions'!E19</f>
        <v>91160.898756014692</v>
      </c>
      <c r="G12" s="146">
        <f>IF('[2]Reservoir Evap'!D15&gt;0, '[2]Reservoir Evap'!D15,0)</f>
        <v>686.42940038462723</v>
      </c>
      <c r="H12" s="146">
        <f>[2]SWCU!E14</f>
        <v>6181.3824799996009</v>
      </c>
      <c r="J12" s="78">
        <f t="shared" si="0"/>
        <v>89627.570636399076</v>
      </c>
      <c r="K12" s="154">
        <f>'[3]Req Inflow'!D11</f>
        <v>721661.34039635584</v>
      </c>
      <c r="L12" s="154">
        <f t="shared" si="1"/>
        <v>811288.91103275493</v>
      </c>
      <c r="M12" s="17"/>
      <c r="N12" s="72">
        <f>[2]SWDemand!G18</f>
        <v>4408.1122400000031</v>
      </c>
      <c r="O12" s="156">
        <f>'[2]M&amp;I COHYST Summary'!E12</f>
        <v>3260.4400000000005</v>
      </c>
      <c r="P12" s="72">
        <f>MAX([2]GWCU!J16*0.7+[2]GWCU!I16*0.7+[2]GWCU!H16*0.7,F12)</f>
        <v>201554.93002749985</v>
      </c>
      <c r="Q12" s="72">
        <f>MIN(B12+'NorthPlatte_NonIRR Season'!E12+'Lewellen_NonIrrigation Season'!C12+'SPlatte_NonIrrigation Season'!F12,'[2]Hydro Demand'!$B$23)</f>
        <v>748784.6750591211</v>
      </c>
      <c r="R12" s="72">
        <f>[2]SWDemand!D18</f>
        <v>6164.4234399999696</v>
      </c>
      <c r="S12" s="72">
        <f>'[2]Net SW Loss'!G17</f>
        <v>157959.09000021202</v>
      </c>
      <c r="T12" s="72">
        <f t="shared" si="2"/>
        <v>584661.1616189091</v>
      </c>
      <c r="U12" s="72">
        <f>'[1]Upper Platte Gage Data'!E12</f>
        <v>12340.94399999999</v>
      </c>
      <c r="V12" s="72">
        <f>IF('[3]DS Demand'!F11&gt;0, '[3]DS Demand'!F11,0)</f>
        <v>584661.1616189091</v>
      </c>
      <c r="W12" s="72">
        <f>'[4]Odessa Instream Flow Calc'!B11</f>
        <v>234685.19727553177</v>
      </c>
      <c r="X12" s="72">
        <f>MIN('[1]Capped Flow'!G11+'NorthPlatte_NonIRR Season'!E12+'Lewellen_NonIrrigation Season'!C12+'SPlatte_NonIrrigation Season'!F12+'[2]GW Depletions'!E19,'[2]Hydro Demand'!$B$16)</f>
        <v>216216</v>
      </c>
      <c r="Y12" s="72">
        <f>'[2]Net SW Loss'!F17</f>
        <v>53.040000002000014</v>
      </c>
      <c r="Z12" s="72">
        <f>[2]SWDemand!H18</f>
        <v>284.20194000000021</v>
      </c>
      <c r="AA12" s="72">
        <f t="shared" si="10"/>
        <v>215878.75805999801</v>
      </c>
      <c r="AB12" s="72">
        <f t="shared" si="3"/>
        <v>686.42940038462723</v>
      </c>
      <c r="AC12" s="111">
        <f>'[2]Net SW Loss'!E17+S12+Y12</f>
        <v>174407.809999722</v>
      </c>
      <c r="AD12" s="73">
        <f t="shared" si="4"/>
        <v>584661.1616189091</v>
      </c>
      <c r="AE12" s="19"/>
      <c r="AF12" s="73">
        <f t="shared" si="5"/>
        <v>865033.47739503032</v>
      </c>
      <c r="AG12" s="73">
        <f t="shared" si="6"/>
        <v>975427.50866651558</v>
      </c>
      <c r="AI12" s="151">
        <f t="shared" si="7"/>
        <v>-53744.566362275393</v>
      </c>
      <c r="AJ12" s="151">
        <f t="shared" si="8"/>
        <v>-164138.59763376066</v>
      </c>
    </row>
    <row r="13" spans="1:42" x14ac:dyDescent="0.25">
      <c r="A13" s="38">
        <v>1993</v>
      </c>
      <c r="B13" s="146">
        <f>'[1]Capped Flow'!E12</f>
        <v>665715.60000000033</v>
      </c>
      <c r="C13" s="146">
        <f>'[1]Capped Flow'!H12</f>
        <v>739476.53999999992</v>
      </c>
      <c r="D13" s="146">
        <f>'[1]Upper Platte Gage Data'!B13</f>
        <v>10471.823999999997</v>
      </c>
      <c r="E13" s="146">
        <f t="shared" si="9"/>
        <v>84232.763999999588</v>
      </c>
      <c r="F13" s="146">
        <f>'[2]GW Depletions'!F20+'[2]GW Depletions'!E20</f>
        <v>94710.143751928379</v>
      </c>
      <c r="G13" s="146">
        <f>IF('[2]Reservoir Evap'!D16&gt;0, '[2]Reservoir Evap'!D16,0)</f>
        <v>772.80495168178936</v>
      </c>
      <c r="H13" s="146">
        <f>[2]SWCU!E15</f>
        <v>2854.3257924895456</v>
      </c>
      <c r="J13" s="78">
        <f t="shared" si="0"/>
        <v>182570.0384960993</v>
      </c>
      <c r="K13" s="154">
        <f>'[3]Req Inflow'!D12</f>
        <v>740522.26346391882</v>
      </c>
      <c r="L13" s="154">
        <f t="shared" si="1"/>
        <v>923092.30196001811</v>
      </c>
      <c r="M13" s="17"/>
      <c r="N13" s="72">
        <f>[2]SWDemand!G19</f>
        <v>2177.2494200000046</v>
      </c>
      <c r="O13" s="156">
        <f>'[2]M&amp;I COHYST Summary'!E13</f>
        <v>3323.1</v>
      </c>
      <c r="P13" s="72">
        <f>MAX([2]GWCU!J17*0.7+[2]GWCU!I17*0.7+[2]GWCU!H17*0.7,F13)</f>
        <v>122345.0424991667</v>
      </c>
      <c r="Q13" s="72">
        <f>MIN(B13+'NorthPlatte_NonIRR Season'!E13+'Lewellen_NonIrrigation Season'!C13+'SPlatte_NonIrrigation Season'!F13,'[2]Hydro Demand'!$B$23)</f>
        <v>818849.08356681315</v>
      </c>
      <c r="R13" s="72">
        <f>[2]SWDemand!D19</f>
        <v>3010.9384599999976</v>
      </c>
      <c r="S13" s="72">
        <f>'[2]Net SW Loss'!G18</f>
        <v>178430.44000149204</v>
      </c>
      <c r="T13" s="72">
        <f t="shared" si="2"/>
        <v>637407.70510532113</v>
      </c>
      <c r="U13" s="72">
        <f>'[1]Upper Platte Gage Data'!E13</f>
        <v>14295.6</v>
      </c>
      <c r="V13" s="72">
        <f>IF('[3]DS Demand'!F12&gt;0, '[3]DS Demand'!F12,0)</f>
        <v>637407.70510532113</v>
      </c>
      <c r="W13" s="72">
        <f>'[4]Odessa Instream Flow Calc'!B12</f>
        <v>327285.58937209996</v>
      </c>
      <c r="X13" s="72">
        <f>MIN('[1]Capped Flow'!G12+'NorthPlatte_NonIRR Season'!E13+'Lewellen_NonIrrigation Season'!C13+'SPlatte_NonIrrigation Season'!F13+'[2]GW Depletions'!E20,'[2]Hydro Demand'!$B$16)</f>
        <v>216216</v>
      </c>
      <c r="Y13" s="72">
        <f>'[2]Net SW Loss'!F18</f>
        <v>15.339999998999996</v>
      </c>
      <c r="Z13" s="72">
        <f>[2]SWDemand!H19</f>
        <v>131.51094999999972</v>
      </c>
      <c r="AA13" s="72">
        <f t="shared" si="10"/>
        <v>216069.149050001</v>
      </c>
      <c r="AB13" s="72">
        <f t="shared" si="3"/>
        <v>772.80495168178936</v>
      </c>
      <c r="AC13" s="111">
        <f>'[2]Net SW Loss'!E18+S13+Y13</f>
        <v>194841.46000099904</v>
      </c>
      <c r="AD13" s="73">
        <f t="shared" si="4"/>
        <v>637407.70510532113</v>
      </c>
      <c r="AE13" s="19"/>
      <c r="AF13" s="73">
        <f t="shared" si="5"/>
        <v>936374.91263993026</v>
      </c>
      <c r="AG13" s="73">
        <f t="shared" si="6"/>
        <v>964009.81138716859</v>
      </c>
      <c r="AI13" s="151">
        <f t="shared" si="7"/>
        <v>-13282.610679912148</v>
      </c>
      <c r="AJ13" s="151">
        <f t="shared" si="8"/>
        <v>-40917.509427150479</v>
      </c>
    </row>
    <row r="14" spans="1:42" x14ac:dyDescent="0.25">
      <c r="A14" s="38">
        <v>1994</v>
      </c>
      <c r="B14" s="146">
        <f>'[1]Capped Flow'!E13</f>
        <v>746444.15999999992</v>
      </c>
      <c r="C14" s="146">
        <f>'[1]Capped Flow'!H13</f>
        <v>843973.02</v>
      </c>
      <c r="D14" s="146">
        <f>'[1]Upper Platte Gage Data'!B14</f>
        <v>6044.8409999999976</v>
      </c>
      <c r="E14" s="146">
        <f t="shared" si="9"/>
        <v>103573.7010000001</v>
      </c>
      <c r="F14" s="146">
        <f>'[2]GW Depletions'!F21+'[2]GW Depletions'!E21</f>
        <v>85136.511378650146</v>
      </c>
      <c r="G14" s="146">
        <f>IF('[2]Reservoir Evap'!D17&gt;0, '[2]Reservoir Evap'!D17,0)</f>
        <v>878.84729599701359</v>
      </c>
      <c r="H14" s="146">
        <f>[2]SWCU!E16</f>
        <v>6568.8825409901838</v>
      </c>
      <c r="J14" s="78">
        <f t="shared" si="0"/>
        <v>196157.94221563748</v>
      </c>
      <c r="K14" s="154">
        <f>'[3]Req Inflow'!D13</f>
        <v>797443.7004670226</v>
      </c>
      <c r="L14" s="154">
        <f t="shared" si="1"/>
        <v>993601.64268266014</v>
      </c>
      <c r="M14" s="17"/>
      <c r="N14" s="72">
        <f>[2]SWDemand!G20</f>
        <v>5158.0660200000029</v>
      </c>
      <c r="O14" s="156">
        <f>'[2]M&amp;I COHYST Summary'!E14</f>
        <v>3366.0299999999997</v>
      </c>
      <c r="P14" s="72">
        <f>MAX([2]GWCU!J18*0.7+[2]GWCU!I18*0.7+[2]GWCU!H18*0.7,F14)</f>
        <v>208538.11079500007</v>
      </c>
      <c r="Q14" s="72">
        <f>MIN(B14+'NorthPlatte_NonIRR Season'!E14+'Lewellen_NonIrrigation Season'!C14+'SPlatte_NonIrrigation Season'!F14,'[2]Hydro Demand'!$B$23)</f>
        <v>888000.82203947101</v>
      </c>
      <c r="R14" s="72">
        <f>[2]SWDemand!D20</f>
        <v>6260.3084799999924</v>
      </c>
      <c r="S14" s="72">
        <f>'[2]Net SW Loss'!G19</f>
        <v>144627.28000458996</v>
      </c>
      <c r="T14" s="72">
        <f t="shared" si="2"/>
        <v>737113.23355488107</v>
      </c>
      <c r="U14" s="72">
        <f>'[1]Upper Platte Gage Data'!E14</f>
        <v>5012.1719999999996</v>
      </c>
      <c r="V14" s="72">
        <f>IF('[3]DS Demand'!F13&gt;0, '[3]DS Demand'!F13,0)</f>
        <v>737113.23355488107</v>
      </c>
      <c r="W14" s="72">
        <f>'[4]Odessa Instream Flow Calc'!B13</f>
        <v>233977.06468780691</v>
      </c>
      <c r="X14" s="72">
        <f>MIN('[1]Capped Flow'!G13+'NorthPlatte_NonIRR Season'!E14+'Lewellen_NonIrrigation Season'!C14+'SPlatte_NonIrrigation Season'!F14+'[2]GW Depletions'!E21,'[2]Hydro Demand'!$B$16)</f>
        <v>216216</v>
      </c>
      <c r="Y14" s="72">
        <f>'[2]Net SW Loss'!F19</f>
        <v>31.269999996000003</v>
      </c>
      <c r="Z14" s="72">
        <f>[2]SWDemand!H20</f>
        <v>267.71056000000027</v>
      </c>
      <c r="AA14" s="72">
        <f t="shared" si="10"/>
        <v>215917.01944000399</v>
      </c>
      <c r="AB14" s="72">
        <f t="shared" si="3"/>
        <v>878.84729599701359</v>
      </c>
      <c r="AC14" s="111">
        <f>'[2]Net SW Loss'!E19+S14+Y14</f>
        <v>160449.70000466096</v>
      </c>
      <c r="AD14" s="73">
        <f t="shared" si="4"/>
        <v>737113.23355488107</v>
      </c>
      <c r="AE14" s="19"/>
      <c r="AF14" s="73">
        <f t="shared" si="5"/>
        <v>998630.40729418921</v>
      </c>
      <c r="AG14" s="73">
        <f t="shared" si="6"/>
        <v>1122032.0067105389</v>
      </c>
      <c r="AI14" s="151">
        <f t="shared" si="7"/>
        <v>-5028.76461152907</v>
      </c>
      <c r="AJ14" s="151">
        <f t="shared" si="8"/>
        <v>-128430.36402787874</v>
      </c>
    </row>
    <row r="15" spans="1:42" x14ac:dyDescent="0.25">
      <c r="A15" s="38">
        <v>1995</v>
      </c>
      <c r="B15" s="146">
        <f>'[1]Capped Flow'!E14</f>
        <v>545288.03999999992</v>
      </c>
      <c r="C15" s="146">
        <f>'[1]Capped Flow'!H14</f>
        <v>629853.83999999985</v>
      </c>
      <c r="D15" s="146">
        <f>'[1]Upper Platte Gage Data'!B15</f>
        <v>21788.513999999996</v>
      </c>
      <c r="E15" s="146">
        <f t="shared" si="9"/>
        <v>106354.31399999993</v>
      </c>
      <c r="F15" s="146">
        <f>'[2]GW Depletions'!F22+'[2]GW Depletions'!E22</f>
        <v>86858.057980039026</v>
      </c>
      <c r="G15" s="146">
        <f>IF('[2]Reservoir Evap'!D18&gt;0, '[2]Reservoir Evap'!D18,0)</f>
        <v>272.53900646648151</v>
      </c>
      <c r="H15" s="146">
        <f>[2]SWCU!E17</f>
        <v>7663.4434175233728</v>
      </c>
      <c r="J15" s="78">
        <f t="shared" si="0"/>
        <v>201148.3544040288</v>
      </c>
      <c r="K15" s="154">
        <f>'[3]Req Inflow'!D14</f>
        <v>618596.83152050327</v>
      </c>
      <c r="L15" s="154">
        <f t="shared" si="1"/>
        <v>819745.18592453212</v>
      </c>
      <c r="M15" s="17"/>
      <c r="N15" s="72">
        <f>[2]SWDemand!G21</f>
        <v>5580.3027000000093</v>
      </c>
      <c r="O15" s="156">
        <f>'[2]M&amp;I COHYST Summary'!E15</f>
        <v>3512.3199999999997</v>
      </c>
      <c r="P15" s="72">
        <f>MAX([2]GWCU!J19*0.7+[2]GWCU!I19*0.7+[2]GWCU!H19*0.7,F15)</f>
        <v>210635.51072666672</v>
      </c>
      <c r="Q15" s="72">
        <f>MIN(B15+'NorthPlatte_NonIRR Season'!E15+'Lewellen_NonIrrigation Season'!C15+'SPlatte_NonIrrigation Season'!F15,'[2]Hydro Demand'!$B$23)</f>
        <v>694321.26305113244</v>
      </c>
      <c r="R15" s="72">
        <f>[2]SWDemand!D21</f>
        <v>6593.2509100000316</v>
      </c>
      <c r="S15" s="72">
        <f>'[2]Net SW Loss'!G20</f>
        <v>178476.19000829998</v>
      </c>
      <c r="T15" s="72">
        <f t="shared" si="2"/>
        <v>509251.82213283237</v>
      </c>
      <c r="U15" s="72">
        <f>'[1]Upper Platte Gage Data'!E15</f>
        <v>1098.9000000000001</v>
      </c>
      <c r="V15" s="72">
        <f>IF('[3]DS Demand'!F14&gt;0, '[3]DS Demand'!F14,0)</f>
        <v>509251.82213283237</v>
      </c>
      <c r="W15" s="72">
        <f>'[4]Odessa Instream Flow Calc'!B14</f>
        <v>201975.1988749046</v>
      </c>
      <c r="X15" s="72">
        <f>MIN('[1]Capped Flow'!G14+'NorthPlatte_NonIRR Season'!E15+'Lewellen_NonIrrigation Season'!C15+'SPlatte_NonIrrigation Season'!F15+'[2]GW Depletions'!E22,'[2]Hydro Demand'!$B$16)</f>
        <v>216216</v>
      </c>
      <c r="Y15" s="72">
        <f>'[2]Net SW Loss'!F20</f>
        <v>30.679999997999992</v>
      </c>
      <c r="Z15" s="72">
        <f>[2]SWDemand!H21</f>
        <v>285.81597000000016</v>
      </c>
      <c r="AA15" s="72">
        <f t="shared" si="10"/>
        <v>215899.50403000199</v>
      </c>
      <c r="AB15" s="72">
        <f t="shared" si="3"/>
        <v>272.53900646648151</v>
      </c>
      <c r="AC15" s="111">
        <f>'[2]Net SW Loss'!E20+S15+Y15</f>
        <v>194440.830008363</v>
      </c>
      <c r="AD15" s="73">
        <f t="shared" si="4"/>
        <v>509251.82213283237</v>
      </c>
      <c r="AE15" s="19"/>
      <c r="AF15" s="73">
        <f t="shared" si="5"/>
        <v>806794.93870770093</v>
      </c>
      <c r="AG15" s="73">
        <f t="shared" si="6"/>
        <v>930572.39145432867</v>
      </c>
      <c r="AI15" s="151">
        <f t="shared" si="7"/>
        <v>12950.247216831194</v>
      </c>
      <c r="AJ15" s="151">
        <f t="shared" si="8"/>
        <v>-110827.20552979654</v>
      </c>
    </row>
    <row r="16" spans="1:42" x14ac:dyDescent="0.25">
      <c r="A16" s="38">
        <v>1996</v>
      </c>
      <c r="B16" s="146">
        <f>'[1]Capped Flow'!E15</f>
        <v>1043808.4800000001</v>
      </c>
      <c r="C16" s="146">
        <f>'[1]Capped Flow'!H15</f>
        <v>966251.88000000024</v>
      </c>
      <c r="D16" s="146">
        <f>'[1]Upper Platte Gage Data'!B16</f>
        <v>15218.28</v>
      </c>
      <c r="E16" s="146">
        <f t="shared" si="9"/>
        <v>-62338.319999999861</v>
      </c>
      <c r="F16" s="146">
        <f>'[2]GW Depletions'!F23+'[2]GW Depletions'!E23</f>
        <v>89940.801478753448</v>
      </c>
      <c r="G16" s="146">
        <f>IF('[2]Reservoir Evap'!D19&gt;0, '[2]Reservoir Evap'!D19,0)</f>
        <v>412.11051143972389</v>
      </c>
      <c r="H16" s="146">
        <f>[2]SWCU!E18</f>
        <v>4906.3634685067582</v>
      </c>
      <c r="J16" s="78">
        <f t="shared" si="0"/>
        <v>32920.955458700068</v>
      </c>
      <c r="K16" s="154">
        <f>'[3]Req Inflow'!D15</f>
        <v>1187840.3159666942</v>
      </c>
      <c r="L16" s="154">
        <f t="shared" si="1"/>
        <v>1220761.2714253941</v>
      </c>
      <c r="M16" s="17"/>
      <c r="N16" s="72">
        <f>[2]SWDemand!G22</f>
        <v>4117.2886899999985</v>
      </c>
      <c r="O16" s="156">
        <f>'[2]M&amp;I COHYST Summary'!E16</f>
        <v>3700.1000000000004</v>
      </c>
      <c r="P16" s="72">
        <f>MAX([2]GWCU!J20*0.7+[2]GWCU!I20*0.7+[2]GWCU!H20*0.7,F16)</f>
        <v>147163.29602916643</v>
      </c>
      <c r="Q16" s="72">
        <f>MIN(B16+'NorthPlatte_NonIRR Season'!E16+'Lewellen_NonIrrigation Season'!C16+'SPlatte_NonIrrigation Season'!F16,'[2]Hydro Demand'!$B$23)</f>
        <v>1192888.8499329945</v>
      </c>
      <c r="R16" s="72">
        <f>[2]SWDemand!D22</f>
        <v>3656.9692100000029</v>
      </c>
      <c r="S16" s="72">
        <f>'[2]Net SW Loss'!G21</f>
        <v>227703.44999744225</v>
      </c>
      <c r="T16" s="72">
        <f t="shared" si="2"/>
        <v>961528.43072555214</v>
      </c>
      <c r="U16" s="72">
        <f>'[1]Upper Platte Gage Data'!E16</f>
        <v>4217.3999999999996</v>
      </c>
      <c r="V16" s="72">
        <f>IF('[3]DS Demand'!F15&gt;0, '[3]DS Demand'!F15,0)</f>
        <v>961528.43072555214</v>
      </c>
      <c r="W16" s="72">
        <f>'[4]Odessa Instream Flow Calc'!B15</f>
        <v>332800.64920465549</v>
      </c>
      <c r="X16" s="72">
        <f>MIN('[1]Capped Flow'!G15+'NorthPlatte_NonIRR Season'!E16+'Lewellen_NonIrrigation Season'!C16+'SPlatte_NonIrrigation Season'!F16+'[2]GW Depletions'!E23,'[2]Hydro Demand'!$B$16)</f>
        <v>216216</v>
      </c>
      <c r="Y16" s="72">
        <f>'[2]Net SW Loss'!F21</f>
        <v>68.440000007999998</v>
      </c>
      <c r="Z16" s="72">
        <f>[2]SWDemand!H22</f>
        <v>166.97069999999985</v>
      </c>
      <c r="AA16" s="72">
        <f t="shared" si="10"/>
        <v>215980.58929999199</v>
      </c>
      <c r="AB16" s="72">
        <f t="shared" si="3"/>
        <v>412.11051143972389</v>
      </c>
      <c r="AC16" s="111">
        <f>'[2]Net SW Loss'!E21+S16+Y16</f>
        <v>244167.56999695825</v>
      </c>
      <c r="AD16" s="73">
        <f t="shared" si="4"/>
        <v>961528.43072555214</v>
      </c>
      <c r="AE16" s="19"/>
      <c r="AF16" s="73">
        <f t="shared" si="5"/>
        <v>1307690.2413127036</v>
      </c>
      <c r="AG16" s="73">
        <f t="shared" si="6"/>
        <v>1364912.7358631166</v>
      </c>
      <c r="AI16" s="151">
        <f t="shared" si="7"/>
        <v>-86928.969887309475</v>
      </c>
      <c r="AJ16" s="151">
        <f t="shared" si="8"/>
        <v>-144151.46443772246</v>
      </c>
    </row>
    <row r="17" spans="1:36" x14ac:dyDescent="0.25">
      <c r="A17" s="38">
        <v>1997</v>
      </c>
      <c r="B17" s="146">
        <f>'[1]Capped Flow'!E16</f>
        <v>1156209.1200000001</v>
      </c>
      <c r="C17" s="146">
        <f>'[1]Capped Flow'!H16</f>
        <v>1190330.46</v>
      </c>
      <c r="D17" s="146">
        <f>'[1]Upper Platte Gage Data'!B17</f>
        <v>62263.277999999977</v>
      </c>
      <c r="E17" s="146">
        <f t="shared" si="9"/>
        <v>96384.617999999828</v>
      </c>
      <c r="F17" s="146">
        <f>'[2]GW Depletions'!F24+'[2]GW Depletions'!E24</f>
        <v>81355.24638805096</v>
      </c>
      <c r="G17" s="146">
        <f>IF('[2]Reservoir Evap'!D20&gt;0, '[2]Reservoir Evap'!D20,0)</f>
        <v>459.51605504336817</v>
      </c>
      <c r="H17" s="146">
        <f>[2]SWCU!E19</f>
        <v>8027.5915330033877</v>
      </c>
      <c r="J17" s="78">
        <f t="shared" si="0"/>
        <v>186226.97197609756</v>
      </c>
      <c r="K17" s="154">
        <f>'[3]Req Inflow'!D16</f>
        <v>1126882.9479645314</v>
      </c>
      <c r="L17" s="154">
        <f t="shared" si="1"/>
        <v>1313109.919940629</v>
      </c>
      <c r="M17" s="17"/>
      <c r="N17" s="72">
        <f>[2]SWDemand!G23</f>
        <v>5788.1300000000028</v>
      </c>
      <c r="O17" s="156">
        <f>'[2]M&amp;I COHYST Summary'!E17</f>
        <v>3807.75</v>
      </c>
      <c r="P17" s="72">
        <f>MAX([2]GWCU!J21*0.7+[2]GWCU!I21*0.7+[2]GWCU!H21*0.7,F17)</f>
        <v>225730.4689791665</v>
      </c>
      <c r="Q17" s="72">
        <f>MIN(B17+'NorthPlatte_NonIRR Season'!E17+'Lewellen_NonIrrigation Season'!C17+'SPlatte_NonIrrigation Season'!F17,'[2]Hydro Demand'!$B$23)</f>
        <v>1216215</v>
      </c>
      <c r="R17" s="72">
        <f>[2]SWDemand!D23</f>
        <v>7022.0448800000158</v>
      </c>
      <c r="S17" s="72">
        <f>'[2]Net SW Loss'!G22</f>
        <v>243200.98000130188</v>
      </c>
      <c r="T17" s="72">
        <f t="shared" si="2"/>
        <v>965991.9751186982</v>
      </c>
      <c r="U17" s="72">
        <f>'[1]Upper Platte Gage Data'!E17</f>
        <v>4157.9999999999991</v>
      </c>
      <c r="V17" s="72">
        <f>IF('[3]DS Demand'!F16&gt;0, '[3]DS Demand'!F16,0)</f>
        <v>965991.9751186982</v>
      </c>
      <c r="W17" s="72">
        <f>'[4]Odessa Instream Flow Calc'!B16</f>
        <v>241885.81026643363</v>
      </c>
      <c r="X17" s="72">
        <f>MIN('[1]Capped Flow'!G16+'NorthPlatte_NonIRR Season'!E17+'Lewellen_NonIrrigation Season'!C17+'SPlatte_NonIrrigation Season'!F17+'[2]GW Depletions'!E24,'[2]Hydro Demand'!$B$16)</f>
        <v>216216</v>
      </c>
      <c r="Y17" s="72">
        <f>'[2]Net SW Loss'!F22</f>
        <v>61.359999995999985</v>
      </c>
      <c r="Z17" s="72">
        <f>[2]SWDemand!H23</f>
        <v>308.44655999999998</v>
      </c>
      <c r="AA17" s="72">
        <f t="shared" si="10"/>
        <v>215846.19344000399</v>
      </c>
      <c r="AB17" s="72">
        <f t="shared" si="3"/>
        <v>459.51605504336817</v>
      </c>
      <c r="AC17" s="111">
        <f>'[2]Net SW Loss'!E22+S17+Y17</f>
        <v>259658.02000080587</v>
      </c>
      <c r="AD17" s="73">
        <f t="shared" si="4"/>
        <v>965991.9751186982</v>
      </c>
      <c r="AE17" s="19"/>
      <c r="AF17" s="73">
        <f t="shared" si="5"/>
        <v>1324391.1290025983</v>
      </c>
      <c r="AG17" s="73">
        <f t="shared" si="6"/>
        <v>1468766.351593714</v>
      </c>
      <c r="AI17" s="151">
        <f t="shared" si="7"/>
        <v>-11281.209061969304</v>
      </c>
      <c r="AJ17" s="151">
        <f t="shared" si="8"/>
        <v>-155656.43165308493</v>
      </c>
    </row>
    <row r="18" spans="1:36" x14ac:dyDescent="0.25">
      <c r="A18" s="38">
        <v>1998</v>
      </c>
      <c r="B18" s="146">
        <f>'[1]Capped Flow'!E17</f>
        <v>1601453.7</v>
      </c>
      <c r="C18" s="146">
        <f>'[1]Capped Flow'!H17</f>
        <v>1698523.1999999997</v>
      </c>
      <c r="D18" s="146">
        <f>'[1]Upper Platte Gage Data'!B18</f>
        <v>52615.728000000003</v>
      </c>
      <c r="E18" s="146">
        <f t="shared" si="9"/>
        <v>149685.22799999977</v>
      </c>
      <c r="F18" s="146">
        <f>'[2]GW Depletions'!F25+'[2]GW Depletions'!E25</f>
        <v>87688.075375459128</v>
      </c>
      <c r="G18" s="146">
        <f>IF('[2]Reservoir Evap'!D21&gt;0, '[2]Reservoir Evap'!D21,0)</f>
        <v>382.63909089062236</v>
      </c>
      <c r="H18" s="146">
        <f>[2]SWCU!E20</f>
        <v>7533.1496564755835</v>
      </c>
      <c r="J18" s="78">
        <f t="shared" si="0"/>
        <v>245289.0921228251</v>
      </c>
      <c r="K18" s="154">
        <f>'[3]Req Inflow'!D17</f>
        <v>1107731.7681450064</v>
      </c>
      <c r="L18" s="154">
        <f t="shared" si="1"/>
        <v>1353020.8602678315</v>
      </c>
      <c r="M18" s="17"/>
      <c r="N18" s="72">
        <f>[2]SWDemand!G24</f>
        <v>6193.5114899999962</v>
      </c>
      <c r="O18" s="156">
        <f>'[2]M&amp;I COHYST Summary'!E18</f>
        <v>3902.5000000000005</v>
      </c>
      <c r="P18" s="72">
        <f>MAX([2]GWCU!J22*0.7+[2]GWCU!I22*0.7+[2]GWCU!H22*0.7,F18)</f>
        <v>220883.36190083309</v>
      </c>
      <c r="Q18" s="72">
        <f>MIN(B18+'NorthPlatte_NonIRR Season'!E18+'Lewellen_NonIrrigation Season'!C18+'SPlatte_NonIrrigation Season'!F18,'[2]Hydro Demand'!$B$23)</f>
        <v>1216215</v>
      </c>
      <c r="R18" s="72">
        <f>[2]SWDemand!D24</f>
        <v>5785.223539999919</v>
      </c>
      <c r="S18" s="72">
        <f>'[2]Net SW Loss'!G23</f>
        <v>249382.9400048597</v>
      </c>
      <c r="T18" s="72">
        <f t="shared" si="2"/>
        <v>961046.83645514038</v>
      </c>
      <c r="U18" s="72">
        <f>'[1]Upper Platte Gage Data'!E18</f>
        <v>1593.8999999999999</v>
      </c>
      <c r="V18" s="72">
        <f>IF('[3]DS Demand'!F17&gt;0, '[3]DS Demand'!F17,0)</f>
        <v>961046.83645514038</v>
      </c>
      <c r="W18" s="72">
        <f>'[4]Odessa Instream Flow Calc'!B17</f>
        <v>256899.74641197402</v>
      </c>
      <c r="X18" s="72">
        <f>MIN('[1]Capped Flow'!G17+'NorthPlatte_NonIRR Season'!E18+'Lewellen_NonIrrigation Season'!C18+'SPlatte_NonIrrigation Season'!F18+'[2]GW Depletions'!E25,'[2]Hydro Demand'!$B$16)</f>
        <v>216216</v>
      </c>
      <c r="Y18" s="72">
        <f>'[2]Net SW Loss'!F23</f>
        <v>58.410000001000014</v>
      </c>
      <c r="Z18" s="72">
        <f>[2]SWDemand!H24</f>
        <v>235.16866000000027</v>
      </c>
      <c r="AA18" s="72">
        <f t="shared" si="10"/>
        <v>215922.42133999901</v>
      </c>
      <c r="AB18" s="72">
        <f t="shared" si="3"/>
        <v>382.63909089062236</v>
      </c>
      <c r="AC18" s="111">
        <f>'[2]Net SW Loss'!E23+S18+Y18</f>
        <v>265375.3100049257</v>
      </c>
      <c r="AD18" s="73">
        <f t="shared" si="4"/>
        <v>961046.83645514038</v>
      </c>
      <c r="AE18" s="19"/>
      <c r="AF18" s="73">
        <f t="shared" si="5"/>
        <v>1330609.2646164156</v>
      </c>
      <c r="AG18" s="73">
        <f t="shared" si="6"/>
        <v>1463804.5511417896</v>
      </c>
      <c r="AI18" s="151">
        <f t="shared" si="7"/>
        <v>22411.595651415875</v>
      </c>
      <c r="AJ18" s="151">
        <f t="shared" si="8"/>
        <v>-110783.69087395817</v>
      </c>
    </row>
    <row r="19" spans="1:36" x14ac:dyDescent="0.25">
      <c r="A19" s="38">
        <v>1999</v>
      </c>
      <c r="B19" s="146">
        <f>'[1]Capped Flow'!E18</f>
        <v>1161586.8000000003</v>
      </c>
      <c r="C19" s="146">
        <f>'[1]Capped Flow'!H18</f>
        <v>1147905</v>
      </c>
      <c r="D19" s="146">
        <f>'[1]Upper Platte Gage Data'!B19</f>
        <v>40981.247999999992</v>
      </c>
      <c r="E19" s="146">
        <f t="shared" si="9"/>
        <v>27299.447999999713</v>
      </c>
      <c r="F19" s="146">
        <f>'[2]GW Depletions'!F26+'[2]GW Depletions'!E26</f>
        <v>89632.640131427921</v>
      </c>
      <c r="G19" s="146">
        <f>IF('[2]Reservoir Evap'!D22&gt;0, '[2]Reservoir Evap'!D22,0)</f>
        <v>403.4258617702273</v>
      </c>
      <c r="H19" s="146">
        <f>[2]SWCU!E21</f>
        <v>6467.5456105041967</v>
      </c>
      <c r="J19" s="78">
        <f t="shared" si="0"/>
        <v>123803.05960370206</v>
      </c>
      <c r="K19" s="154">
        <f>'[3]Req Inflow'!D18</f>
        <v>1158181.2487833535</v>
      </c>
      <c r="L19" s="154">
        <f t="shared" si="1"/>
        <v>1281984.3083870555</v>
      </c>
      <c r="M19" s="17"/>
      <c r="N19" s="72">
        <f>[2]SWDemand!G25</f>
        <v>5019.2842300000011</v>
      </c>
      <c r="O19" s="156">
        <f>'[2]M&amp;I COHYST Summary'!E19</f>
        <v>3980.2599999999993</v>
      </c>
      <c r="P19" s="72">
        <f>MAX([2]GWCU!J23*0.7+[2]GWCU!I23*0.7+[2]GWCU!H23*0.7,F19)</f>
        <v>202309.36013166676</v>
      </c>
      <c r="Q19" s="72">
        <f>MIN(B19+'NorthPlatte_NonIRR Season'!E19+'Lewellen_NonIrrigation Season'!C19+'SPlatte_NonIrrigation Season'!F19,'[2]Hydro Demand'!$B$23)</f>
        <v>1216215</v>
      </c>
      <c r="R19" s="72">
        <f>[2]SWDemand!D25</f>
        <v>5324.8698899999436</v>
      </c>
      <c r="S19" s="72">
        <f>'[2]Net SW Loss'!G24</f>
        <v>239481.54999801973</v>
      </c>
      <c r="T19" s="72">
        <f t="shared" si="2"/>
        <v>971408.58011198032</v>
      </c>
      <c r="U19" s="72">
        <f>'[1]Upper Platte Gage Data'!E19</f>
        <v>1166.22</v>
      </c>
      <c r="V19" s="72">
        <f>IF('[3]DS Demand'!F18&gt;0, '[3]DS Demand'!F18,0)</f>
        <v>971408.58011198032</v>
      </c>
      <c r="W19" s="72">
        <f>'[4]Odessa Instream Flow Calc'!B18</f>
        <v>306914.71319441893</v>
      </c>
      <c r="X19" s="72">
        <f>MIN('[1]Capped Flow'!G18+'NorthPlatte_NonIRR Season'!E19+'Lewellen_NonIrrigation Season'!C19+'SPlatte_NonIrrigation Season'!F19+'[2]GW Depletions'!E26,'[2]Hydro Demand'!$B$16)</f>
        <v>216216</v>
      </c>
      <c r="Y19" s="72">
        <f>'[2]Net SW Loss'!F24</f>
        <v>70.209999981000053</v>
      </c>
      <c r="Z19" s="72">
        <f>[2]SWDemand!H25</f>
        <v>227.33368000000013</v>
      </c>
      <c r="AA19" s="72">
        <f t="shared" si="10"/>
        <v>215918.456320019</v>
      </c>
      <c r="AB19" s="72">
        <f t="shared" si="3"/>
        <v>403.4258617702273</v>
      </c>
      <c r="AC19" s="111">
        <f>'[2]Net SW Loss'!E24+S19+Y19</f>
        <v>255485.71999806573</v>
      </c>
      <c r="AD19" s="73">
        <f t="shared" si="4"/>
        <v>971408.58011198032</v>
      </c>
      <c r="AE19" s="19"/>
      <c r="AF19" s="73">
        <f t="shared" si="5"/>
        <v>1331482.1139032443</v>
      </c>
      <c r="AG19" s="73">
        <f t="shared" si="6"/>
        <v>1444158.8339034829</v>
      </c>
      <c r="AI19" s="151">
        <f t="shared" si="7"/>
        <v>-49497.805516188731</v>
      </c>
      <c r="AJ19" s="151">
        <f t="shared" si="8"/>
        <v>-162174.52551642735</v>
      </c>
    </row>
    <row r="20" spans="1:36" x14ac:dyDescent="0.25">
      <c r="A20" s="38">
        <v>2000</v>
      </c>
      <c r="B20" s="146">
        <f>'[1]Capped Flow'!E19</f>
        <v>1435135.6799999992</v>
      </c>
      <c r="C20" s="146">
        <f>'[1]Capped Flow'!H19</f>
        <v>1568629.2600000002</v>
      </c>
      <c r="D20" s="146">
        <f>'[1]Upper Platte Gage Data'!B20</f>
        <v>35889.282000000007</v>
      </c>
      <c r="E20" s="146">
        <f t="shared" si="9"/>
        <v>169382.86200000101</v>
      </c>
      <c r="F20" s="146">
        <f>'[2]GW Depletions'!F27+'[2]GW Depletions'!E27</f>
        <v>90361.420564393935</v>
      </c>
      <c r="G20" s="146">
        <f>IF('[2]Reservoir Evap'!D23&gt;0, '[2]Reservoir Evap'!D23,0)</f>
        <v>714.08073727149565</v>
      </c>
      <c r="H20" s="146">
        <f>[2]SWCU!E22</f>
        <v>7781.2770880113803</v>
      </c>
      <c r="J20" s="78">
        <f t="shared" si="0"/>
        <v>268239.64038967778</v>
      </c>
      <c r="K20" s="154">
        <f>'[3]Req Inflow'!D19</f>
        <v>1072600.9365590422</v>
      </c>
      <c r="L20" s="154">
        <f t="shared" si="1"/>
        <v>1340840.57694872</v>
      </c>
      <c r="M20" s="17"/>
      <c r="N20" s="72">
        <f>[2]SWDemand!G26</f>
        <v>6625.5408899999984</v>
      </c>
      <c r="O20" s="156">
        <f>'[2]M&amp;I COHYST Summary'!E20</f>
        <v>4042.8899999999994</v>
      </c>
      <c r="P20" s="72">
        <f>MAX([2]GWCU!J24*0.7+[2]GWCU!I24*0.7+[2]GWCU!H24*0.7,F20)</f>
        <v>247834.74065583339</v>
      </c>
      <c r="Q20" s="72">
        <f>MIN(B20+'NorthPlatte_NonIRR Season'!E20+'Lewellen_NonIrrigation Season'!C20+'SPlatte_NonIrrigation Season'!F20,'[2]Hydro Demand'!$B$23)</f>
        <v>1216215</v>
      </c>
      <c r="R20" s="72">
        <f>[2]SWDemand!D26</f>
        <v>6390.224160000027</v>
      </c>
      <c r="S20" s="72">
        <f>'[2]Net SW Loss'!G25</f>
        <v>199120.48000503189</v>
      </c>
      <c r="T20" s="72">
        <f t="shared" si="2"/>
        <v>1010704.2958349681</v>
      </c>
      <c r="U20" s="72">
        <f>'[1]Upper Platte Gage Data'!E20</f>
        <v>1124.6400000000001</v>
      </c>
      <c r="V20" s="72">
        <f>IF('[3]DS Demand'!F19&gt;0, '[3]DS Demand'!F19,0)</f>
        <v>1010704.2958349681</v>
      </c>
      <c r="W20" s="72">
        <f>'[4]Odessa Instream Flow Calc'!B19</f>
        <v>139749.46481132478</v>
      </c>
      <c r="X20" s="72">
        <f>MIN('[1]Capped Flow'!G19+'NorthPlatte_NonIRR Season'!E20+'Lewellen_NonIrrigation Season'!C20+'SPlatte_NonIrrigation Season'!F20+'[2]GW Depletions'!E27,'[2]Hydro Demand'!$B$16)</f>
        <v>216216</v>
      </c>
      <c r="Y20" s="72">
        <f>'[2]Net SW Loss'!F25</f>
        <v>55.46000000600003</v>
      </c>
      <c r="Z20" s="72">
        <f>[2]SWDemand!H26</f>
        <v>303.83025999999961</v>
      </c>
      <c r="AA20" s="72">
        <f t="shared" si="10"/>
        <v>215856.70973999402</v>
      </c>
      <c r="AB20" s="72">
        <f t="shared" si="3"/>
        <v>714.08073727149565</v>
      </c>
      <c r="AC20" s="111">
        <f>'[2]Net SW Loss'!E25+S20+Y20</f>
        <v>215143.19000445987</v>
      </c>
      <c r="AD20" s="73">
        <f t="shared" si="4"/>
        <v>1010704.2958349681</v>
      </c>
      <c r="AE20" s="19"/>
      <c r="AF20" s="73">
        <f t="shared" si="5"/>
        <v>1334285.4724510934</v>
      </c>
      <c r="AG20" s="73">
        <f t="shared" si="6"/>
        <v>1491758.7925425328</v>
      </c>
      <c r="AI20" s="151">
        <f t="shared" si="7"/>
        <v>6555.1044976266567</v>
      </c>
      <c r="AJ20" s="151">
        <f t="shared" si="8"/>
        <v>-150918.21559381275</v>
      </c>
    </row>
    <row r="21" spans="1:36" x14ac:dyDescent="0.25">
      <c r="A21" s="38">
        <v>2001</v>
      </c>
      <c r="B21" s="146">
        <f>'[1]Capped Flow'!E20</f>
        <v>647275.85999999987</v>
      </c>
      <c r="C21" s="146">
        <f>'[1]Capped Flow'!H20</f>
        <v>659779.55999999994</v>
      </c>
      <c r="D21" s="146">
        <f>'[1]Upper Platte Gage Data'!B21</f>
        <v>17886.329999999998</v>
      </c>
      <c r="E21" s="146">
        <f t="shared" si="9"/>
        <v>30390.030000000068</v>
      </c>
      <c r="F21" s="146">
        <f>'[2]GW Depletions'!F28+'[2]GW Depletions'!E28</f>
        <v>98547.772694444444</v>
      </c>
      <c r="G21" s="146">
        <f>IF('[2]Reservoir Evap'!D24&gt;0, '[2]Reservoir Evap'!D24,0)</f>
        <v>620.19468779755698</v>
      </c>
      <c r="H21" s="146">
        <f>[2]SWCU!E23</f>
        <v>6395.7904529946763</v>
      </c>
      <c r="J21" s="78">
        <f t="shared" si="0"/>
        <v>135953.78783523676</v>
      </c>
      <c r="K21" s="154">
        <f>'[3]Req Inflow'!D20</f>
        <v>757841.92182678031</v>
      </c>
      <c r="L21" s="154">
        <f t="shared" si="1"/>
        <v>893795.70966201706</v>
      </c>
      <c r="M21" s="17"/>
      <c r="N21" s="72">
        <f>[2]SWDemand!G27</f>
        <v>5276.5340800000004</v>
      </c>
      <c r="O21" s="156">
        <f>'[2]M&amp;I COHYST Summary'!E21</f>
        <v>4102.1400000000003</v>
      </c>
      <c r="P21" s="72">
        <f>MAX([2]GWCU!J25*0.7+[2]GWCU!I25*0.7+[2]GWCU!H25*0.7,F21)</f>
        <v>195875.99334333345</v>
      </c>
      <c r="Q21" s="72">
        <f>MIN(B21+'NorthPlatte_NonIRR Season'!E21+'Lewellen_NonIrrigation Season'!C21+'SPlatte_NonIrrigation Season'!F21,'[2]Hydro Demand'!$B$23)</f>
        <v>813453.91358786297</v>
      </c>
      <c r="R21" s="72">
        <f>[2]SWDemand!D27</f>
        <v>5240.233479999908</v>
      </c>
      <c r="S21" s="72">
        <f>'[2]Net SW Loss'!G26</f>
        <v>138176.69000290197</v>
      </c>
      <c r="T21" s="72">
        <f t="shared" si="2"/>
        <v>670036.99010496109</v>
      </c>
      <c r="U21" s="72">
        <f>'[1]Upper Platte Gage Data'!E21</f>
        <v>3702.5999999999995</v>
      </c>
      <c r="V21" s="72">
        <f>IF('[3]DS Demand'!F20&gt;0, '[3]DS Demand'!F20,0)</f>
        <v>670036.99010496109</v>
      </c>
      <c r="W21" s="72">
        <f>'[4]Odessa Instream Flow Calc'!B20</f>
        <v>233933.37939126528</v>
      </c>
      <c r="X21" s="72">
        <f>MIN('[1]Capped Flow'!G20+'NorthPlatte_NonIRR Season'!E21+'Lewellen_NonIrrigation Season'!C21+'SPlatte_NonIrrigation Season'!F21+'[2]GW Depletions'!E28,'[2]Hydro Demand'!$B$16)</f>
        <v>216216</v>
      </c>
      <c r="Y21" s="72">
        <f>'[2]Net SW Loss'!F26</f>
        <v>65.490000006000031</v>
      </c>
      <c r="Z21" s="72">
        <f>[2]SWDemand!H27</f>
        <v>256.38421</v>
      </c>
      <c r="AA21" s="72">
        <f t="shared" si="10"/>
        <v>215894.12578999402</v>
      </c>
      <c r="AB21" s="72">
        <f t="shared" si="3"/>
        <v>620.19468779755698</v>
      </c>
      <c r="AC21" s="111">
        <f>'[2]Net SW Loss'!E26+S21+Y21</f>
        <v>154637.86000241595</v>
      </c>
      <c r="AD21" s="73">
        <f t="shared" si="4"/>
        <v>670036.99010496109</v>
      </c>
      <c r="AE21" s="19"/>
      <c r="AF21" s="73">
        <f t="shared" si="5"/>
        <v>938718.10925961903</v>
      </c>
      <c r="AG21" s="73">
        <f t="shared" si="6"/>
        <v>1036046.3299085081</v>
      </c>
      <c r="AI21" s="151">
        <f t="shared" si="7"/>
        <v>-44922.399597601965</v>
      </c>
      <c r="AJ21" s="151">
        <f t="shared" si="8"/>
        <v>-142250.62024649105</v>
      </c>
    </row>
    <row r="22" spans="1:36" x14ac:dyDescent="0.25">
      <c r="A22" s="38">
        <v>2002</v>
      </c>
      <c r="B22" s="146">
        <f>'[1]Capped Flow'!E21</f>
        <v>501700.32000000018</v>
      </c>
      <c r="C22" s="146">
        <f>'[1]Capped Flow'!H21</f>
        <v>454750.55999999994</v>
      </c>
      <c r="D22" s="146">
        <f>'[1]Upper Platte Gage Data'!B22</f>
        <v>61530.48000000001</v>
      </c>
      <c r="E22" s="146">
        <f t="shared" si="9"/>
        <v>14580.719999999768</v>
      </c>
      <c r="F22" s="146">
        <f>'[2]GW Depletions'!F29+'[2]GW Depletions'!E29</f>
        <v>95871.987841138645</v>
      </c>
      <c r="G22" s="146">
        <f>IF('[2]Reservoir Evap'!D25&gt;0, '[2]Reservoir Evap'!D25,0)</f>
        <v>609.11102355583</v>
      </c>
      <c r="H22" s="146">
        <f>[2]SWCU!E24</f>
        <v>9039.6212399947326</v>
      </c>
      <c r="J22" s="78">
        <f t="shared" si="0"/>
        <v>120101.44010468898</v>
      </c>
      <c r="K22" s="154">
        <f>'[3]Req Inflow'!D21</f>
        <v>624842.56168505596</v>
      </c>
      <c r="L22" s="154">
        <f t="shared" si="1"/>
        <v>744944.00178974494</v>
      </c>
      <c r="M22" s="17"/>
      <c r="N22" s="72">
        <f>[2]SWDemand!G28</f>
        <v>6144.23567</v>
      </c>
      <c r="O22" s="156">
        <f>'[2]M&amp;I COHYST Summary'!E22</f>
        <v>4100.3100000000004</v>
      </c>
      <c r="P22" s="72">
        <f>MAX([2]GWCU!J26*0.7+[2]GWCU!I26*0.7+[2]GWCU!H26*0.7,F22)</f>
        <v>382081.23014250054</v>
      </c>
      <c r="Q22" s="72">
        <f>MIN(B22+'NorthPlatte_NonIRR Season'!E22+'Lewellen_NonIrrigation Season'!C22+'SPlatte_NonIrrigation Season'!F22,'[2]Hydro Demand'!$B$23)</f>
        <v>667886.6204223684</v>
      </c>
      <c r="R22" s="72">
        <f>[2]SWDemand!D28</f>
        <v>10077.374190000002</v>
      </c>
      <c r="S22" s="72">
        <f>'[2]Net SW Loss'!G27</f>
        <v>119214.46000735986</v>
      </c>
      <c r="T22" s="72">
        <f t="shared" si="2"/>
        <v>538594.78622500855</v>
      </c>
      <c r="U22" s="72">
        <f>'[1]Upper Platte Gage Data'!E22</f>
        <v>6825.0599999999995</v>
      </c>
      <c r="V22" s="72">
        <f>IF('[3]DS Demand'!F21&gt;0, '[3]DS Demand'!F21,0)</f>
        <v>538594.78622500855</v>
      </c>
      <c r="W22" s="72">
        <f>'[4]Odessa Instream Flow Calc'!B21</f>
        <v>75297.256877374311</v>
      </c>
      <c r="X22" s="72">
        <f>MIN('[1]Capped Flow'!G21+'NorthPlatte_NonIRR Season'!E22+'Lewellen_NonIrrigation Season'!C22+'SPlatte_NonIrrigation Season'!F22+'[2]GW Depletions'!E29,'[2]Hydro Demand'!$B$16)</f>
        <v>216216</v>
      </c>
      <c r="Y22" s="72">
        <f>'[2]Net SW Loss'!F27</f>
        <v>54.510000008000041</v>
      </c>
      <c r="Z22" s="72">
        <f>[2]SWDemand!H28</f>
        <v>524.58521000000007</v>
      </c>
      <c r="AA22" s="72">
        <f t="shared" si="10"/>
        <v>215636.904789992</v>
      </c>
      <c r="AB22" s="72">
        <f t="shared" si="3"/>
        <v>609.11102355583</v>
      </c>
      <c r="AC22" s="111">
        <f>'[2]Net SW Loss'!E27+S22+Y22</f>
        <v>134203.26000759387</v>
      </c>
      <c r="AD22" s="73">
        <f t="shared" si="4"/>
        <v>538594.78622500855</v>
      </c>
      <c r="AE22" s="19"/>
      <c r="AF22" s="73">
        <f t="shared" si="5"/>
        <v>790125.65016729699</v>
      </c>
      <c r="AG22" s="73">
        <f t="shared" si="6"/>
        <v>1076334.8924686587</v>
      </c>
      <c r="AI22" s="151">
        <f t="shared" si="7"/>
        <v>-45181.648377552046</v>
      </c>
      <c r="AJ22" s="151">
        <f t="shared" si="8"/>
        <v>-331390.8906789138</v>
      </c>
    </row>
    <row r="23" spans="1:36" x14ac:dyDescent="0.25">
      <c r="A23" s="38">
        <v>2003</v>
      </c>
      <c r="B23" s="146">
        <f>'[1]Capped Flow'!E22</f>
        <v>343595.34000000014</v>
      </c>
      <c r="C23" s="146">
        <f>'[1]Capped Flow'!H22</f>
        <v>271978.74</v>
      </c>
      <c r="D23" s="146">
        <f>'[1]Upper Platte Gage Data'!B23</f>
        <v>40190.04</v>
      </c>
      <c r="E23" s="146">
        <f t="shared" si="9"/>
        <v>-31426.56000000015</v>
      </c>
      <c r="F23" s="146">
        <f>'[2]GW Depletions'!F30+'[2]GW Depletions'!E30</f>
        <v>120696.13966620754</v>
      </c>
      <c r="G23" s="146">
        <f>IF('[2]Reservoir Evap'!D26&gt;0, '[2]Reservoir Evap'!D26,0)</f>
        <v>530.44318795677395</v>
      </c>
      <c r="H23" s="146">
        <f>[2]SWCU!E25</f>
        <v>6102.3814734940388</v>
      </c>
      <c r="J23" s="78">
        <f t="shared" si="0"/>
        <v>95902.404327658209</v>
      </c>
      <c r="K23" s="154">
        <f>'[3]Req Inflow'!D22</f>
        <v>512366.41298158944</v>
      </c>
      <c r="L23" s="154">
        <f t="shared" si="1"/>
        <v>608268.81730924768</v>
      </c>
      <c r="M23" s="17"/>
      <c r="N23" s="72">
        <f>[2]SWDemand!G29</f>
        <v>4771.1946199999975</v>
      </c>
      <c r="O23" s="156">
        <f>'[2]M&amp;I COHYST Summary'!E23</f>
        <v>4098.5599999999995</v>
      </c>
      <c r="P23" s="72">
        <f>MAX([2]GWCU!J27*0.7+[2]GWCU!I27*0.7+[2]GWCU!H27*0.7,F23)</f>
        <v>285128.73786249995</v>
      </c>
      <c r="Q23" s="72">
        <f>MIN(B23+'NorthPlatte_NonIRR Season'!E23+'Lewellen_NonIrrigation Season'!C23+'SPlatte_NonIrrigation Season'!F23,'[2]Hydro Demand'!$B$23)</f>
        <v>545741.36574985064</v>
      </c>
      <c r="R23" s="72">
        <f>[2]SWDemand!D29</f>
        <v>6812.8259899999975</v>
      </c>
      <c r="S23" s="72">
        <f>'[2]Net SW Loss'!G28</f>
        <v>116560.37000256992</v>
      </c>
      <c r="T23" s="72">
        <f t="shared" si="2"/>
        <v>422368.16975728067</v>
      </c>
      <c r="U23" s="72">
        <f>'[1]Upper Platte Gage Data'!E23</f>
        <v>3433.32</v>
      </c>
      <c r="V23" s="72">
        <f>IF('[3]DS Demand'!F22&gt;0, '[3]DS Demand'!F22,0)</f>
        <v>422368.16975728067</v>
      </c>
      <c r="W23" s="72">
        <f>'[4]Odessa Instream Flow Calc'!B22</f>
        <v>126110.0159638772</v>
      </c>
      <c r="X23" s="72">
        <f>MIN('[1]Capped Flow'!G22+'NorthPlatte_NonIRR Season'!E23+'Lewellen_NonIrrigation Season'!C23+'SPlatte_NonIrrigation Season'!F23+'[2]GW Depletions'!E30,'[2]Hydro Demand'!$B$16)</f>
        <v>216216</v>
      </c>
      <c r="Y23" s="72">
        <f>'[2]Net SW Loss'!F28</f>
        <v>30.620000005000001</v>
      </c>
      <c r="Z23" s="72">
        <f>[2]SWDemand!H29</f>
        <v>353.69233000000048</v>
      </c>
      <c r="AA23" s="72">
        <f t="shared" si="10"/>
        <v>215831.68766999501</v>
      </c>
      <c r="AB23" s="72">
        <f t="shared" si="3"/>
        <v>530.44318795677395</v>
      </c>
      <c r="AC23" s="111">
        <f>'[2]Net SW Loss'!E28+S23+Y23</f>
        <v>130751.11000287693</v>
      </c>
      <c r="AD23" s="73">
        <f t="shared" si="4"/>
        <v>422368.16975728067</v>
      </c>
      <c r="AE23" s="19"/>
      <c r="AF23" s="73">
        <f t="shared" si="5"/>
        <v>690382.13555432204</v>
      </c>
      <c r="AG23" s="73">
        <f t="shared" si="6"/>
        <v>854814.73375061445</v>
      </c>
      <c r="AI23" s="151">
        <f t="shared" si="7"/>
        <v>-82113.318245074362</v>
      </c>
      <c r="AJ23" s="151">
        <f t="shared" si="8"/>
        <v>-246545.91644136677</v>
      </c>
    </row>
    <row r="24" spans="1:36" x14ac:dyDescent="0.25">
      <c r="A24" s="38">
        <v>2004</v>
      </c>
      <c r="B24" s="146">
        <f>'[1]Capped Flow'!E23</f>
        <v>282829.14</v>
      </c>
      <c r="C24" s="146">
        <f>'[1]Capped Flow'!H23</f>
        <v>195980.00400000002</v>
      </c>
      <c r="D24" s="146">
        <f>'[1]Upper Platte Gage Data'!B24</f>
        <v>9991.0799999999981</v>
      </c>
      <c r="E24" s="146">
        <f t="shared" si="9"/>
        <v>-76858.055999999997</v>
      </c>
      <c r="F24" s="146">
        <f>'[2]GW Depletions'!F31+'[2]GW Depletions'!E31</f>
        <v>124180.91122371441</v>
      </c>
      <c r="G24" s="146">
        <f>IF('[2]Reservoir Evap'!D27&gt;0, '[2]Reservoir Evap'!D27,0)</f>
        <v>532.29876327924421</v>
      </c>
      <c r="H24" s="146">
        <f>[2]SWCU!E26</f>
        <v>3997.1322300060133</v>
      </c>
      <c r="J24" s="78">
        <f t="shared" si="0"/>
        <v>51852.286216999673</v>
      </c>
      <c r="K24" s="154">
        <f>'[3]Req Inflow'!D23</f>
        <v>495466.08812912577</v>
      </c>
      <c r="L24" s="154">
        <f t="shared" si="1"/>
        <v>547318.37434612541</v>
      </c>
      <c r="M24" s="17"/>
      <c r="N24" s="72">
        <f>[2]SWDemand!G30</f>
        <v>3319.865410000009</v>
      </c>
      <c r="O24" s="156">
        <f>'[2]M&amp;I COHYST Summary'!E24</f>
        <v>4096.87</v>
      </c>
      <c r="P24" s="72">
        <f>MAX([2]GWCU!J28*0.7+[2]GWCU!I28*0.7+[2]GWCU!H28*0.7,F24)</f>
        <v>244444.2202358327</v>
      </c>
      <c r="Q24" s="72">
        <f>MIN(B24+'NorthPlatte_NonIRR Season'!E24+'Lewellen_NonIrrigation Season'!C24+'SPlatte_NonIrrigation Season'!F24,'[2]Hydro Demand'!$B$23)</f>
        <v>504322.02387531719</v>
      </c>
      <c r="R24" s="72">
        <f>[2]SWDemand!D30</f>
        <v>4538.31736000003</v>
      </c>
      <c r="S24" s="72">
        <f>'[2]Net SW Loss'!G29</f>
        <v>117446.6600034319</v>
      </c>
      <c r="T24" s="72">
        <f t="shared" si="2"/>
        <v>382337.04651188524</v>
      </c>
      <c r="U24" s="72">
        <f>'[1]Upper Platte Gage Data'!E24</f>
        <v>17837.819999999996</v>
      </c>
      <c r="V24" s="72">
        <f>IF('[3]DS Demand'!F23&gt;0, '[3]DS Demand'!F23,0)</f>
        <v>382337.04651188524</v>
      </c>
      <c r="W24" s="72">
        <f>'[4]Odessa Instream Flow Calc'!B23</f>
        <v>128603.28248346996</v>
      </c>
      <c r="X24" s="72">
        <f>MIN('[1]Capped Flow'!G23+'NorthPlatte_NonIRR Season'!E24+'Lewellen_NonIrrigation Season'!C24+'SPlatte_NonIrrigation Season'!F24+'[2]GW Depletions'!E31,'[2]Hydro Demand'!$B$16)</f>
        <v>216216</v>
      </c>
      <c r="Y24" s="72">
        <f>'[2]Net SW Loss'!F29</f>
        <v>24.780000007999991</v>
      </c>
      <c r="Z24" s="72">
        <f>[2]SWDemand!H30</f>
        <v>252.67844000000008</v>
      </c>
      <c r="AA24" s="72">
        <f t="shared" si="10"/>
        <v>215938.54155999201</v>
      </c>
      <c r="AB24" s="72">
        <f t="shared" si="3"/>
        <v>532.29876327924421</v>
      </c>
      <c r="AC24" s="111">
        <f>'[2]Net SW Loss'!E29+S24+Y24</f>
        <v>133724.31000295791</v>
      </c>
      <c r="AD24" s="73">
        <f t="shared" si="4"/>
        <v>382337.04651188524</v>
      </c>
      <c r="AE24" s="19"/>
      <c r="AF24" s="73">
        <f t="shared" si="5"/>
        <v>652982.29771183676</v>
      </c>
      <c r="AG24" s="73">
        <f t="shared" si="6"/>
        <v>773245.60672395513</v>
      </c>
      <c r="AI24" s="151">
        <f t="shared" si="7"/>
        <v>-105663.92336571135</v>
      </c>
      <c r="AJ24" s="151">
        <f t="shared" si="8"/>
        <v>-225927.23237782973</v>
      </c>
    </row>
    <row r="25" spans="1:36" x14ac:dyDescent="0.25">
      <c r="A25" s="38">
        <v>2005</v>
      </c>
      <c r="B25" s="146">
        <f>'[1]Capped Flow'!E24</f>
        <v>236497.13999999998</v>
      </c>
      <c r="C25" s="146">
        <f>'[1]Capped Flow'!H24</f>
        <v>260257.14000000007</v>
      </c>
      <c r="D25" s="146">
        <f>'[1]Upper Platte Gage Data'!B25</f>
        <v>40482.881999999991</v>
      </c>
      <c r="E25" s="146">
        <f t="shared" si="9"/>
        <v>64242.882000000078</v>
      </c>
      <c r="F25" s="146">
        <f>'[2]GW Depletions'!F32+'[2]GW Depletions'!E32</f>
        <v>122379.47302146464</v>
      </c>
      <c r="G25" s="146">
        <f>IF('[2]Reservoir Evap'!D28&gt;0, '[2]Reservoir Evap'!D28,0)</f>
        <v>59.590611311024141</v>
      </c>
      <c r="H25" s="146">
        <f>[2]SWCU!E27</f>
        <v>4061.7251544939481</v>
      </c>
      <c r="J25" s="78">
        <f t="shared" si="0"/>
        <v>190743.67078726969</v>
      </c>
      <c r="K25" s="154">
        <f>'[3]Req Inflow'!D24</f>
        <v>395416.42228144238</v>
      </c>
      <c r="L25" s="154">
        <f t="shared" si="1"/>
        <v>586160.09306871204</v>
      </c>
      <c r="M25" s="17"/>
      <c r="N25" s="72">
        <f>[2]SWDemand!G31</f>
        <v>4658.2493699999986</v>
      </c>
      <c r="O25" s="156">
        <f>'[2]M&amp;I COHYST Summary'!E25</f>
        <v>4232.78</v>
      </c>
      <c r="P25" s="72">
        <f>MAX([2]GWCU!J29*0.7+[2]GWCU!I29*0.7+[2]GWCU!H29*0.7,F25)</f>
        <v>293891.36071750027</v>
      </c>
      <c r="Q25" s="72">
        <f>MIN(B25+'NorthPlatte_NonIRR Season'!E25+'Lewellen_NonIrrigation Season'!C25+'SPlatte_NonIrrigation Season'!F25,'[2]Hydro Demand'!$B$23)</f>
        <v>458098.7625187239</v>
      </c>
      <c r="R25" s="72">
        <f>[2]SWDemand!D31</f>
        <v>4361.0949900000778</v>
      </c>
      <c r="S25" s="72">
        <f>'[2]Net SW Loss'!G30</f>
        <v>114563.17000358189</v>
      </c>
      <c r="T25" s="72">
        <f t="shared" si="2"/>
        <v>339174.49752514192</v>
      </c>
      <c r="U25" s="72">
        <f>'[1]Upper Platte Gage Data'!E25</f>
        <v>7916.0399999999991</v>
      </c>
      <c r="V25" s="72">
        <f>IF('[3]DS Demand'!F24&gt;0, '[3]DS Demand'!F24,0)</f>
        <v>339174.49752514192</v>
      </c>
      <c r="W25" s="72">
        <f>'[4]Odessa Instream Flow Calc'!B24</f>
        <v>162569.52868623313</v>
      </c>
      <c r="X25" s="72">
        <f>MIN('[1]Capped Flow'!G24+'NorthPlatte_NonIRR Season'!E25+'Lewellen_NonIrrigation Season'!C25+'SPlatte_NonIrrigation Season'!F25+'[2]GW Depletions'!E32,'[2]Hydro Demand'!$B$16)</f>
        <v>216216</v>
      </c>
      <c r="Y25" s="72">
        <f>'[2]Net SW Loss'!F30</f>
        <v>69.619999990000053</v>
      </c>
      <c r="Z25" s="72">
        <f>[2]SWDemand!H31</f>
        <v>276.67515999999989</v>
      </c>
      <c r="AA25" s="72">
        <f t="shared" si="10"/>
        <v>215869.70484000997</v>
      </c>
      <c r="AB25" s="72">
        <f t="shared" si="3"/>
        <v>59.590611311024141</v>
      </c>
      <c r="AC25" s="111">
        <f>'[2]Net SW Loss'!E30+S25+Y25</f>
        <v>128964.2200032939</v>
      </c>
      <c r="AD25" s="73">
        <f t="shared" si="4"/>
        <v>339174.49752514192</v>
      </c>
      <c r="AE25" s="19"/>
      <c r="AF25" s="73">
        <f t="shared" si="5"/>
        <v>604106.58068121166</v>
      </c>
      <c r="AG25" s="73">
        <f t="shared" si="6"/>
        <v>775618.46837724722</v>
      </c>
      <c r="AI25" s="151">
        <f t="shared" si="7"/>
        <v>-17946.487612499623</v>
      </c>
      <c r="AJ25" s="151">
        <f t="shared" si="8"/>
        <v>-189458.37530853518</v>
      </c>
    </row>
    <row r="26" spans="1:36" x14ac:dyDescent="0.25">
      <c r="A26" s="38">
        <v>2006</v>
      </c>
      <c r="B26" s="146">
        <f>'[1]Capped Flow'!E25</f>
        <v>255932.82000000007</v>
      </c>
      <c r="C26" s="146">
        <f>'[1]Capped Flow'!H25</f>
        <v>162468.90000000002</v>
      </c>
      <c r="D26" s="146">
        <f>'[1]Upper Platte Gage Data'!B26</f>
        <v>69337.025999999998</v>
      </c>
      <c r="E26" s="146">
        <f t="shared" si="9"/>
        <v>-24126.894000000044</v>
      </c>
      <c r="F26" s="146">
        <f>'[2]GW Depletions'!F33+'[2]GW Depletions'!E33</f>
        <v>128901.72500344353</v>
      </c>
      <c r="G26" s="146">
        <f>IF('[2]Reservoir Evap'!D29&gt;0, '[2]Reservoir Evap'!D29,0)</f>
        <v>44.318141581186772</v>
      </c>
      <c r="H26" s="146">
        <f>[2]SWCU!E28</f>
        <v>1166.8186009999961</v>
      </c>
      <c r="J26" s="78">
        <f t="shared" si="0"/>
        <v>105985.96774602466</v>
      </c>
      <c r="K26" s="154">
        <f>'[3]Req Inflow'!D25</f>
        <v>433348.78031302162</v>
      </c>
      <c r="L26" s="154">
        <f t="shared" si="1"/>
        <v>539334.74805904622</v>
      </c>
      <c r="M26" s="17"/>
      <c r="N26" s="72">
        <f>[2]SWDemand!G32</f>
        <v>855.7353899999996</v>
      </c>
      <c r="O26" s="156">
        <f>'[2]M&amp;I COHYST Summary'!E26</f>
        <v>4232.78</v>
      </c>
      <c r="P26" s="72">
        <f>MAX([2]GWCU!J30*0.7+[2]GWCU!I30*0.7+[2]GWCU!H30*0.7,F26)</f>
        <v>260713.68670666675</v>
      </c>
      <c r="Q26" s="72">
        <f>MIN(B26+'NorthPlatte_NonIRR Season'!E26+'Lewellen_NonIrrigation Season'!C26+'SPlatte_NonIrrigation Season'!F26,'[2]Hydro Demand'!$B$23)</f>
        <v>465883.63596706814</v>
      </c>
      <c r="R26" s="72">
        <f>[2]SWDemand!D32</f>
        <v>782.0059099999944</v>
      </c>
      <c r="S26" s="72">
        <f>'[2]Net SW Loss'!G31</f>
        <v>114396.19000446994</v>
      </c>
      <c r="T26" s="72">
        <f t="shared" si="2"/>
        <v>350705.44005259819</v>
      </c>
      <c r="U26" s="72">
        <f>'[1]Upper Platte Gage Data'!E26</f>
        <v>15632.100000000002</v>
      </c>
      <c r="V26" s="72">
        <f>IF('[3]DS Demand'!F25&gt;0, '[3]DS Demand'!F25,0)</f>
        <v>350705.44005259819</v>
      </c>
      <c r="W26" s="72">
        <f>'[4]Odessa Instream Flow Calc'!B25</f>
        <v>106225.19533588173</v>
      </c>
      <c r="X26" s="72">
        <f>MIN('[1]Capped Flow'!G25+'NorthPlatte_NonIRR Season'!E26+'Lewellen_NonIrrigation Season'!C26+'SPlatte_NonIrrigation Season'!F26+'[2]GW Depletions'!E33,'[2]Hydro Demand'!$B$16)</f>
        <v>216216</v>
      </c>
      <c r="Y26" s="72">
        <f>'[2]Net SW Loss'!F31</f>
        <v>76.109999997000031</v>
      </c>
      <c r="Z26" s="72">
        <f>[2]SWDemand!H32</f>
        <v>157.36424000000002</v>
      </c>
      <c r="AA26" s="72">
        <f t="shared" si="10"/>
        <v>215982.52576000302</v>
      </c>
      <c r="AB26" s="72">
        <f t="shared" si="3"/>
        <v>44.318141581186772</v>
      </c>
      <c r="AC26" s="111">
        <f>'[2]Net SW Loss'!E31+S26+Y26</f>
        <v>128070.82000455895</v>
      </c>
      <c r="AD26" s="73">
        <f t="shared" si="4"/>
        <v>350705.44005259819</v>
      </c>
      <c r="AE26" s="19"/>
      <c r="AF26" s="73">
        <f t="shared" si="5"/>
        <v>613750.18874218175</v>
      </c>
      <c r="AG26" s="73">
        <f t="shared" si="6"/>
        <v>745562.15044540493</v>
      </c>
      <c r="AI26" s="151">
        <f t="shared" si="7"/>
        <v>-74415.44068313553</v>
      </c>
      <c r="AJ26" s="151">
        <f t="shared" si="8"/>
        <v>-206227.40238635871</v>
      </c>
    </row>
    <row r="27" spans="1:36" x14ac:dyDescent="0.25">
      <c r="A27" s="38">
        <v>2007</v>
      </c>
      <c r="B27" s="146">
        <f>'[1]Capped Flow'!E26</f>
        <v>303062.75999999989</v>
      </c>
      <c r="C27" s="146">
        <f>'[1]Capped Flow'!H26</f>
        <v>372531.06</v>
      </c>
      <c r="D27" s="146">
        <f>'[1]Upper Platte Gage Data'!B27</f>
        <v>75947.849999999977</v>
      </c>
      <c r="E27" s="146">
        <f t="shared" si="9"/>
        <v>145416.15000000008</v>
      </c>
      <c r="F27" s="146">
        <f>'[2]GW Depletions'!F34+'[2]GW Depletions'!E34</f>
        <v>131400.7179207989</v>
      </c>
      <c r="G27" s="146">
        <f>IF('[2]Reservoir Evap'!D30&gt;0, '[2]Reservoir Evap'!D30,0)</f>
        <v>137.82002239752688</v>
      </c>
      <c r="H27" s="146">
        <f>[2]SWCU!E29</f>
        <v>965.60497149999856</v>
      </c>
      <c r="J27" s="78">
        <f t="shared" si="0"/>
        <v>277920.29291469645</v>
      </c>
      <c r="K27" s="154">
        <f>'[3]Req Inflow'!D26</f>
        <v>419225.06606125331</v>
      </c>
      <c r="L27" s="154">
        <f t="shared" si="1"/>
        <v>697145.3589759497</v>
      </c>
      <c r="M27" s="17"/>
      <c r="N27" s="72">
        <f>[2]SWDemand!G33</f>
        <v>610.35190999999929</v>
      </c>
      <c r="O27" s="156">
        <f>'[2]M&amp;I COHYST Summary'!E27</f>
        <v>4232.78</v>
      </c>
      <c r="P27" s="72">
        <f>MAX([2]GWCU!J31*0.7+[2]GWCU!I31*0.7+[2]GWCU!H31*0.7,F27)</f>
        <v>205386.02207083319</v>
      </c>
      <c r="Q27" s="72">
        <f>MIN(B27+'NorthPlatte_NonIRR Season'!E27+'Lewellen_NonIrrigation Season'!C27+'SPlatte_NonIrrigation Season'!F27,'[2]Hydro Demand'!$B$23)</f>
        <v>522758.63238993532</v>
      </c>
      <c r="R27" s="72">
        <f>[2]SWDemand!D33</f>
        <v>727.60659999999734</v>
      </c>
      <c r="S27" s="72">
        <f>'[2]Net SW Loss'!G32</f>
        <v>116185.25000393993</v>
      </c>
      <c r="T27" s="72">
        <f t="shared" si="2"/>
        <v>405845.77578599541</v>
      </c>
      <c r="U27" s="72">
        <f>'[1]Upper Platte Gage Data'!E27</f>
        <v>4407.4800000000005</v>
      </c>
      <c r="V27" s="72">
        <f>IF('[3]DS Demand'!F26&gt;0, '[3]DS Demand'!F26,0)</f>
        <v>405845.77578599541</v>
      </c>
      <c r="W27" s="72">
        <f>'[4]Odessa Instream Flow Calc'!B26</f>
        <v>219204.96104089185</v>
      </c>
      <c r="X27" s="72">
        <f>MIN('[1]Capped Flow'!G26+'NorthPlatte_NonIRR Season'!E27+'Lewellen_NonIrrigation Season'!C27+'SPlatte_NonIrrigation Season'!F27+'[2]GW Depletions'!E34,'[2]Hydro Demand'!$B$16)</f>
        <v>216216</v>
      </c>
      <c r="Y27" s="72">
        <f>'[2]Net SW Loss'!F32</f>
        <v>40.709999998000022</v>
      </c>
      <c r="Z27" s="72">
        <f>[2]SWDemand!H33</f>
        <v>147.58760000000001</v>
      </c>
      <c r="AA27" s="72">
        <f t="shared" si="10"/>
        <v>216027.70240000199</v>
      </c>
      <c r="AB27" s="72">
        <f t="shared" si="3"/>
        <v>137.82002239752688</v>
      </c>
      <c r="AC27" s="111">
        <f>'[2]Net SW Loss'!E32+S27+Y27</f>
        <v>130971.21000408093</v>
      </c>
      <c r="AD27" s="73">
        <f t="shared" si="4"/>
        <v>405845.77578599541</v>
      </c>
      <c r="AE27" s="19"/>
      <c r="AF27" s="73">
        <f t="shared" si="5"/>
        <v>674073.84984327271</v>
      </c>
      <c r="AG27" s="73">
        <f t="shared" si="6"/>
        <v>748059.15399330703</v>
      </c>
      <c r="AI27" s="151">
        <f t="shared" si="7"/>
        <v>23071.509132676991</v>
      </c>
      <c r="AJ27" s="151">
        <f t="shared" si="8"/>
        <v>-50913.795017357334</v>
      </c>
    </row>
    <row r="28" spans="1:36" x14ac:dyDescent="0.25">
      <c r="A28" s="38">
        <v>2008</v>
      </c>
      <c r="B28" s="146">
        <f>'[1]Capped Flow'!E27</f>
        <v>265555.61999999994</v>
      </c>
      <c r="C28" s="146">
        <f>'[1]Capped Flow'!H27</f>
        <v>367109.81999999989</v>
      </c>
      <c r="D28" s="146">
        <f>'[1]Upper Platte Gage Data'!B28</f>
        <v>19401.822</v>
      </c>
      <c r="E28" s="146">
        <f t="shared" si="9"/>
        <v>120956.02199999995</v>
      </c>
      <c r="F28" s="146">
        <f>'[2]GW Depletions'!F35+'[2]GW Depletions'!E35</f>
        <v>125046.97022279614</v>
      </c>
      <c r="G28" s="146">
        <f>IF('[2]Reservoir Evap'!D31&gt;0, '[2]Reservoir Evap'!D31,0)</f>
        <v>140.60048488314592</v>
      </c>
      <c r="H28" s="146">
        <f>[2]SWCU!E30</f>
        <v>1933.1265785000014</v>
      </c>
      <c r="J28" s="78">
        <f t="shared" si="0"/>
        <v>248076.71928617923</v>
      </c>
      <c r="K28" s="154">
        <f>'[3]Req Inflow'!D27</f>
        <v>404325.73141286772</v>
      </c>
      <c r="L28" s="154">
        <f t="shared" si="1"/>
        <v>652402.45069904695</v>
      </c>
      <c r="M28" s="17"/>
      <c r="N28" s="72">
        <f>[2]SWDemand!G34</f>
        <v>1477.8786299999977</v>
      </c>
      <c r="O28" s="156">
        <f>'[2]M&amp;I COHYST Summary'!E28</f>
        <v>4232.78</v>
      </c>
      <c r="P28" s="72">
        <f>MAX([2]GWCU!J32*0.7+[2]GWCU!I32*0.7+[2]GWCU!H32*0.7,F28)</f>
        <v>420295.11987166735</v>
      </c>
      <c r="Q28" s="72">
        <f>MIN(B28+'NorthPlatte_NonIRR Season'!E28+'Lewellen_NonIrrigation Season'!C28+'SPlatte_NonIrrigation Season'!F28,'[2]Hydro Demand'!$B$23)</f>
        <v>485240.55250973866</v>
      </c>
      <c r="R28" s="72">
        <f>[2]SWDemand!D34</f>
        <v>1294.9183800000028</v>
      </c>
      <c r="S28" s="72">
        <f>'[2]Net SW Loss'!G33</f>
        <v>116410.34000335193</v>
      </c>
      <c r="T28" s="72">
        <f t="shared" si="2"/>
        <v>367535.29412638675</v>
      </c>
      <c r="U28" s="72">
        <f>'[1]Upper Platte Gage Data'!E28</f>
        <v>3482.82</v>
      </c>
      <c r="V28" s="72">
        <f>IF('[3]DS Demand'!F27&gt;0, '[3]DS Demand'!F27,0)</f>
        <v>367535.29412638675</v>
      </c>
      <c r="W28" s="72">
        <f>'[4]Odessa Instream Flow Calc'!B27</f>
        <v>211045.84386587393</v>
      </c>
      <c r="X28" s="72">
        <f>MIN('[1]Capped Flow'!G27+'NorthPlatte_NonIRR Season'!E28+'Lewellen_NonIrrigation Season'!C28+'SPlatte_NonIrrigation Season'!F28+'[2]GW Depletions'!E35,'[2]Hydro Demand'!$B$16)</f>
        <v>216216</v>
      </c>
      <c r="Y28" s="72">
        <f>'[2]Net SW Loss'!F33</f>
        <v>60.179999988000056</v>
      </c>
      <c r="Z28" s="72">
        <f>[2]SWDemand!H34</f>
        <v>201.24388000000005</v>
      </c>
      <c r="AA28" s="72">
        <f t="shared" si="10"/>
        <v>215954.576120012</v>
      </c>
      <c r="AB28" s="72">
        <f t="shared" si="3"/>
        <v>140.60048488314592</v>
      </c>
      <c r="AC28" s="111">
        <f>'[2]Net SW Loss'!E33+S28+Y28</f>
        <v>132723.39000285792</v>
      </c>
      <c r="AD28" s="73">
        <f t="shared" si="4"/>
        <v>367535.29412638675</v>
      </c>
      <c r="AE28" s="19"/>
      <c r="AF28" s="73">
        <f t="shared" si="5"/>
        <v>632653.075726924</v>
      </c>
      <c r="AG28" s="73">
        <f t="shared" si="6"/>
        <v>927901.22537579527</v>
      </c>
      <c r="AI28" s="151">
        <f t="shared" si="7"/>
        <v>19749.374972122954</v>
      </c>
      <c r="AJ28" s="151">
        <f t="shared" si="8"/>
        <v>-275498.77467674832</v>
      </c>
    </row>
    <row r="29" spans="1:36" x14ac:dyDescent="0.25">
      <c r="A29" s="38">
        <v>2009</v>
      </c>
      <c r="B29" s="146">
        <f>'[1]Capped Flow'!E28</f>
        <v>350877.7799999998</v>
      </c>
      <c r="C29" s="146">
        <f>'[1]Capped Flow'!H28</f>
        <v>390600.54000000015</v>
      </c>
      <c r="D29" s="146">
        <f>'[1]Upper Platte Gage Data'!B29</f>
        <v>54083.898000000023</v>
      </c>
      <c r="E29" s="146">
        <f t="shared" si="9"/>
        <v>93806.658000000374</v>
      </c>
      <c r="F29" s="146">
        <f>'[2]GW Depletions'!F36+'[2]GW Depletions'!E36</f>
        <v>113360.69259136825</v>
      </c>
      <c r="G29" s="146">
        <f>IF('[2]Reservoir Evap'!D32&gt;0, '[2]Reservoir Evap'!D32,0)</f>
        <v>64.978407535802688</v>
      </c>
      <c r="H29" s="146">
        <f>[2]SWCU!E31</f>
        <v>1714.7385709999967</v>
      </c>
      <c r="J29" s="78">
        <f t="shared" si="0"/>
        <v>208947.06756990441</v>
      </c>
      <c r="K29" s="154">
        <f>'[3]Req Inflow'!D28</f>
        <v>482747.312364457</v>
      </c>
      <c r="L29" s="154">
        <f t="shared" si="1"/>
        <v>691694.37993436144</v>
      </c>
      <c r="M29" s="17"/>
      <c r="N29" s="72">
        <f>[2]SWDemand!G35</f>
        <v>1299.3088900000002</v>
      </c>
      <c r="O29" s="156">
        <f>'[2]M&amp;I COHYST Summary'!E29</f>
        <v>4232.78</v>
      </c>
      <c r="P29" s="72">
        <f>MAX([2]GWCU!J33*0.7+[2]GWCU!I33*0.7+[2]GWCU!H33*0.7,F29)</f>
        <v>377626.867806978</v>
      </c>
      <c r="Q29" s="72">
        <f>MIN(B29+'NorthPlatte_NonIRR Season'!E29+'Lewellen_NonIrrigation Season'!C29+'SPlatte_NonIrrigation Season'!F29,'[2]Hydro Demand'!$B$23)</f>
        <v>556923.73632184428</v>
      </c>
      <c r="R29" s="72">
        <f>[2]SWDemand!D35</f>
        <v>1130.4782699999942</v>
      </c>
      <c r="S29" s="72">
        <f>'[2]Net SW Loss'!G34</f>
        <v>134362.60999650179</v>
      </c>
      <c r="T29" s="72">
        <f t="shared" si="2"/>
        <v>421430.64805534249</v>
      </c>
      <c r="U29" s="72">
        <f>'[1]Upper Platte Gage Data'!E29</f>
        <v>8975.34</v>
      </c>
      <c r="V29" s="72">
        <f>IF('[3]DS Demand'!F28&gt;0, '[3]DS Demand'!F28,0)</f>
        <v>421430.64805534249</v>
      </c>
      <c r="W29" s="72">
        <f>'[4]Odessa Instream Flow Calc'!B28</f>
        <v>264345.7758507824</v>
      </c>
      <c r="X29" s="72">
        <f>MIN('[1]Capped Flow'!G28+'NorthPlatte_NonIRR Season'!E29+'Lewellen_NonIrrigation Season'!C29+'SPlatte_NonIrrigation Season'!F29+'[2]GW Depletions'!E36,'[2]Hydro Demand'!$B$16)</f>
        <v>216216</v>
      </c>
      <c r="Y29" s="72">
        <f>'[2]Net SW Loss'!F34</f>
        <v>56.639999995000011</v>
      </c>
      <c r="Z29" s="72">
        <f>[2]SWDemand!H35</f>
        <v>208.27218000000008</v>
      </c>
      <c r="AA29" s="72">
        <f t="shared" si="10"/>
        <v>215951.08782000499</v>
      </c>
      <c r="AB29" s="72">
        <f t="shared" si="3"/>
        <v>64.978407535802688</v>
      </c>
      <c r="AC29" s="111">
        <f>'[2]Net SW Loss'!E34+S29+Y29</f>
        <v>150814.92999600479</v>
      </c>
      <c r="AD29" s="73">
        <f t="shared" si="4"/>
        <v>421430.64805534249</v>
      </c>
      <c r="AE29" s="19"/>
      <c r="AF29" s="73">
        <f t="shared" si="5"/>
        <v>692542.08839025127</v>
      </c>
      <c r="AG29" s="73">
        <f t="shared" si="6"/>
        <v>956808.26360586111</v>
      </c>
      <c r="AI29" s="151">
        <f t="shared" si="7"/>
        <v>-847.70845588983502</v>
      </c>
      <c r="AJ29" s="151">
        <f t="shared" si="8"/>
        <v>-265113.88367149967</v>
      </c>
    </row>
    <row r="30" spans="1:36" x14ac:dyDescent="0.25">
      <c r="A30" s="38">
        <v>2010</v>
      </c>
      <c r="B30" s="146">
        <f>'[1]Capped Flow'!E29</f>
        <v>691744.68000000017</v>
      </c>
      <c r="C30" s="146">
        <f>'[1]Capped Flow'!H29</f>
        <v>822773.15999999968</v>
      </c>
      <c r="D30" s="146">
        <f>'[1]Upper Platte Gage Data'!B30</f>
        <v>29239.234199999999</v>
      </c>
      <c r="E30" s="146">
        <f t="shared" si="9"/>
        <v>160267.71419999952</v>
      </c>
      <c r="F30" s="146">
        <f>'[2]GW Depletions'!F37+'[2]GW Depletions'!E37</f>
        <v>109295.12536202939</v>
      </c>
      <c r="G30" s="146">
        <f>IF('[2]Reservoir Evap'!D33&gt;0, '[2]Reservoir Evap'!D33,0)</f>
        <v>630.95443553880023</v>
      </c>
      <c r="H30" s="146">
        <f>[2]SWCU!E32</f>
        <v>1913.3871055000002</v>
      </c>
      <c r="J30" s="78">
        <f t="shared" si="0"/>
        <v>272107.18110306765</v>
      </c>
      <c r="K30" s="154">
        <f>'[3]Req Inflow'!D29</f>
        <v>751533.5652331668</v>
      </c>
      <c r="L30" s="154">
        <f t="shared" si="1"/>
        <v>1023640.7463362345</v>
      </c>
      <c r="M30" s="17"/>
      <c r="N30" s="72">
        <f>[2]SWDemand!G36</f>
        <v>1280.4571000000017</v>
      </c>
      <c r="O30" s="156">
        <f>'[2]M&amp;I COHYST Summary'!E30</f>
        <v>4232.78</v>
      </c>
      <c r="P30" s="72">
        <f>MAX([2]GWCU!J34*0.7+[2]GWCU!I34*0.7+[2]GWCU!H34*0.7,F30)</f>
        <v>409381.06232874049</v>
      </c>
      <c r="Q30" s="72">
        <f>MIN(B30+'NorthPlatte_NonIRR Season'!E30+'Lewellen_NonIrrigation Season'!C30+'SPlatte_NonIrrigation Season'!F30,'[2]Hydro Demand'!$B$23)</f>
        <v>872017.08843426441</v>
      </c>
      <c r="R30" s="72">
        <f>[2]SWDemand!D36</f>
        <v>1406.8686799999959</v>
      </c>
      <c r="S30" s="72">
        <f>'[2]Net SW Loss'!G35</f>
        <v>209372.46000016981</v>
      </c>
      <c r="T30" s="72">
        <f t="shared" si="2"/>
        <v>661237.75975409464</v>
      </c>
      <c r="U30" s="72">
        <f>'[1]Upper Platte Gage Data'!E30</f>
        <v>7777.4400000000005</v>
      </c>
      <c r="V30" s="72">
        <f>IF('[3]DS Demand'!F29&gt;0, '[3]DS Demand'!F29,0)</f>
        <v>661237.75975409464</v>
      </c>
      <c r="W30" s="72">
        <f>'[4]Odessa Instream Flow Calc'!B29</f>
        <v>308402.55068873428</v>
      </c>
      <c r="X30" s="72">
        <f>MIN('[1]Capped Flow'!G29+'NorthPlatte_NonIRR Season'!E30+'Lewellen_NonIrrigation Season'!C30+'SPlatte_NonIrrigation Season'!F30+'[2]GW Depletions'!E37,'[2]Hydro Demand'!$B$16)</f>
        <v>216216</v>
      </c>
      <c r="Y30" s="72">
        <f>'[2]Net SW Loss'!F35</f>
        <v>67.259999986000039</v>
      </c>
      <c r="Z30" s="72">
        <f>[2]SWDemand!H36</f>
        <v>256.34668999999997</v>
      </c>
      <c r="AA30" s="72">
        <f t="shared" si="10"/>
        <v>215892.39331001398</v>
      </c>
      <c r="AB30" s="72">
        <f t="shared" si="3"/>
        <v>630.95443553880023</v>
      </c>
      <c r="AC30" s="111">
        <f>'[2]Net SW Loss'!E35+S30+Y30</f>
        <v>225373.68000022083</v>
      </c>
      <c r="AD30" s="73">
        <f t="shared" si="4"/>
        <v>661237.75975409464</v>
      </c>
      <c r="AE30" s="19"/>
      <c r="AF30" s="73">
        <f t="shared" si="5"/>
        <v>1003713.9720218837</v>
      </c>
      <c r="AG30" s="73">
        <f t="shared" si="6"/>
        <v>1303799.9089885948</v>
      </c>
      <c r="AI30" s="151">
        <f t="shared" si="7"/>
        <v>19926.774314350798</v>
      </c>
      <c r="AJ30" s="151">
        <f t="shared" si="8"/>
        <v>-280159.16265236028</v>
      </c>
    </row>
    <row r="31" spans="1:36" x14ac:dyDescent="0.25">
      <c r="A31" s="38">
        <v>2011</v>
      </c>
      <c r="B31" s="146">
        <f>'[1]Capped Flow'!E30</f>
        <v>1401346.9800000004</v>
      </c>
      <c r="C31" s="146">
        <f>'[1]Capped Flow'!H30</f>
        <v>1463053.6800000002</v>
      </c>
      <c r="D31" s="146">
        <f>'[1]Upper Platte Gage Data'!B31</f>
        <v>59347.331999999995</v>
      </c>
      <c r="E31" s="146">
        <f t="shared" si="9"/>
        <v>121054.03199999972</v>
      </c>
      <c r="F31" s="146">
        <f>'[2]GW Depletions'!F38+'[2]GW Depletions'!E38</f>
        <v>103203.48319742884</v>
      </c>
      <c r="G31" s="146">
        <f>IF('[2]Reservoir Evap'!D34&gt;0, '[2]Reservoir Evap'!D34,0)</f>
        <v>904.67810296050436</v>
      </c>
      <c r="H31" s="146">
        <f>[2]SWCU!E33</f>
        <v>2048.8620100000021</v>
      </c>
      <c r="J31" s="78">
        <f t="shared" si="0"/>
        <v>227211.05531038906</v>
      </c>
      <c r="K31" s="154">
        <f>'[3]Req Inflow'!D30</f>
        <v>1108330.6801825147</v>
      </c>
      <c r="L31" s="154">
        <f t="shared" si="1"/>
        <v>1335541.7354929037</v>
      </c>
      <c r="M31" s="17"/>
      <c r="N31" s="72">
        <f>[2]SWDemand!G37</f>
        <v>1510.1404699999998</v>
      </c>
      <c r="O31" s="156">
        <f>'[2]M&amp;I COHYST Summary'!E31</f>
        <v>4232.78</v>
      </c>
      <c r="P31" s="72">
        <f>MAX([2]GWCU!J35*0.7+[2]GWCU!I35*0.7+[2]GWCU!H35*0.7,F31)</f>
        <v>431164.05220085988</v>
      </c>
      <c r="Q31" s="72">
        <f>MIN(B31+'NorthPlatte_NonIRR Season'!E31+'Lewellen_NonIrrigation Season'!C31+'SPlatte_NonIrrigation Season'!F31,'[2]Hydro Demand'!$B$23)</f>
        <v>1216215</v>
      </c>
      <c r="R31" s="72">
        <f>[2]SWDemand!D37</f>
        <v>1403.0041200000014</v>
      </c>
      <c r="S31" s="72">
        <f>'[2]Net SW Loss'!G36</f>
        <v>239835.25000355989</v>
      </c>
      <c r="T31" s="72">
        <f t="shared" si="2"/>
        <v>974976.7458764402</v>
      </c>
      <c r="U31" s="72">
        <f>'[1]Upper Platte Gage Data'!E31</f>
        <v>1071.18</v>
      </c>
      <c r="V31" s="72">
        <f>IF('[3]DS Demand'!F30&gt;0, '[3]DS Demand'!F30,0)</f>
        <v>974976.7458764402</v>
      </c>
      <c r="W31" s="72">
        <f>'[4]Odessa Instream Flow Calc'!B30</f>
        <v>278359.18214795773</v>
      </c>
      <c r="X31" s="72">
        <f>MIN('[1]Capped Flow'!G30+'NorthPlatte_NonIRR Season'!E31+'Lewellen_NonIrrigation Season'!C31+'SPlatte_NonIrrigation Season'!F31+'[2]GW Depletions'!E38,'[2]Hydro Demand'!$B$16)</f>
        <v>216216</v>
      </c>
      <c r="Y31" s="72">
        <f>'[2]Net SW Loss'!F36</f>
        <v>57.229999986000031</v>
      </c>
      <c r="Z31" s="72">
        <f>[2]SWDemand!H37</f>
        <v>238.9508100000001</v>
      </c>
      <c r="AA31" s="72">
        <f t="shared" si="10"/>
        <v>215919.81919001398</v>
      </c>
      <c r="AB31" s="72">
        <f t="shared" si="3"/>
        <v>904.67810296050436</v>
      </c>
      <c r="AC31" s="111">
        <f>'[2]Net SW Loss'!E36+S31+Y31</f>
        <v>255689.5600036009</v>
      </c>
      <c r="AD31" s="73">
        <f t="shared" si="4"/>
        <v>974976.7458764402</v>
      </c>
      <c r="AE31" s="19"/>
      <c r="AF31" s="73">
        <f t="shared" si="5"/>
        <v>1342159.3425804307</v>
      </c>
      <c r="AG31" s="73">
        <f t="shared" si="6"/>
        <v>1670119.9115838616</v>
      </c>
      <c r="AI31" s="151">
        <f t="shared" si="7"/>
        <v>-6617.6070875269361</v>
      </c>
      <c r="AJ31" s="151">
        <f t="shared" si="8"/>
        <v>-334578.17609095783</v>
      </c>
    </row>
    <row r="32" spans="1:36" x14ac:dyDescent="0.25">
      <c r="A32" s="38">
        <v>2012</v>
      </c>
      <c r="B32" s="146">
        <f>'[1]Capped Flow'!E31</f>
        <v>1310015.5199999991</v>
      </c>
      <c r="C32" s="146">
        <f>'[1]Capped Flow'!H31</f>
        <v>1406692.98</v>
      </c>
      <c r="D32" s="146">
        <f>'[1]Upper Platte Gage Data'!B32</f>
        <v>34218.161999999997</v>
      </c>
      <c r="E32" s="146">
        <f t="shared" si="9"/>
        <v>130895.62200000089</v>
      </c>
      <c r="F32" s="146">
        <f>'[2]GW Depletions'!F39+'[2]GW Depletions'!E39</f>
        <v>105357.86531726354</v>
      </c>
      <c r="G32" s="146">
        <f>IF('[2]Reservoir Evap'!D35&gt;0, '[2]Reservoir Evap'!D35,0)</f>
        <v>1200.2126782376481</v>
      </c>
      <c r="H32" s="146">
        <f>[2]SWCU!E34</f>
        <v>2344.4968300000032</v>
      </c>
      <c r="J32" s="78">
        <f t="shared" si="0"/>
        <v>239798.19682550206</v>
      </c>
      <c r="K32" s="154">
        <f>'[3]Req Inflow'!D31</f>
        <v>1072213.7802816497</v>
      </c>
      <c r="L32" s="154">
        <f t="shared" si="1"/>
        <v>1312011.9771071516</v>
      </c>
      <c r="M32" s="17"/>
      <c r="N32" s="72">
        <f>[2]SWDemand!G38</f>
        <v>1473.6060399999985</v>
      </c>
      <c r="O32" s="156">
        <f>'[2]M&amp;I COHYST Summary'!E32</f>
        <v>4232.78</v>
      </c>
      <c r="P32" s="72">
        <f>MAX([2]GWCU!J36*0.7+[2]GWCU!I36*0.7+[2]GWCU!H36*0.7,F32)</f>
        <v>473478.85852166667</v>
      </c>
      <c r="Q32" s="72">
        <f>MIN(B32+'NorthPlatte_NonIRR Season'!E32+'Lewellen_NonIrrigation Season'!C32+'SPlatte_NonIrrigation Season'!F32,'[2]Hydro Demand'!$B$23)</f>
        <v>1216215</v>
      </c>
      <c r="R32" s="72">
        <f>[2]SWDemand!D38</f>
        <v>1802.182080000006</v>
      </c>
      <c r="S32" s="72">
        <f>'[2]Net SW Loss'!G37</f>
        <v>143056.48999878188</v>
      </c>
      <c r="T32" s="72">
        <f t="shared" si="2"/>
        <v>1071356.3279212182</v>
      </c>
      <c r="U32" s="72">
        <f>'[1]Upper Platte Gage Data'!E32</f>
        <v>2908.6200000000003</v>
      </c>
      <c r="V32" s="72">
        <f>IF('[3]DS Demand'!F31&gt;0, '[3]DS Demand'!F31,0)</f>
        <v>1071356.3279212182</v>
      </c>
      <c r="W32" s="72">
        <f>'[4]Odessa Instream Flow Calc'!B31</f>
        <v>201624.63070549048</v>
      </c>
      <c r="X32" s="72">
        <f>MIN('[1]Capped Flow'!G31+'NorthPlatte_NonIRR Season'!E32+'Lewellen_NonIrrigation Season'!C32+'SPlatte_NonIrrigation Season'!F32+'[2]GW Depletions'!E39,'[2]Hydro Demand'!$B$16)</f>
        <v>216216</v>
      </c>
      <c r="Y32" s="72">
        <f>'[2]Net SW Loss'!F37</f>
        <v>31.269999995999992</v>
      </c>
      <c r="Z32" s="72">
        <f>[2]SWDemand!H38</f>
        <v>331.13008000000008</v>
      </c>
      <c r="AA32" s="72">
        <f t="shared" si="10"/>
        <v>215853.599920004</v>
      </c>
      <c r="AB32" s="72">
        <f t="shared" si="3"/>
        <v>1200.2126782376481</v>
      </c>
      <c r="AC32" s="111">
        <f>'[2]Net SW Loss'!E37+S32+Y32</f>
        <v>159340.31999826987</v>
      </c>
      <c r="AD32" s="73">
        <f t="shared" si="4"/>
        <v>1071356.3279212182</v>
      </c>
      <c r="AE32" s="19"/>
      <c r="AF32" s="73">
        <f t="shared" si="5"/>
        <v>1345094.4241149893</v>
      </c>
      <c r="AG32" s="73">
        <f t="shared" si="6"/>
        <v>1713215.4173193923</v>
      </c>
      <c r="AI32" s="151">
        <f t="shared" si="7"/>
        <v>-33082.447007837705</v>
      </c>
      <c r="AJ32" s="151">
        <f t="shared" si="8"/>
        <v>-401203.44021224068</v>
      </c>
    </row>
    <row r="33" spans="1:36" x14ac:dyDescent="0.25">
      <c r="C33" s="15"/>
      <c r="J33" s="33"/>
      <c r="K33" s="1"/>
      <c r="L33" s="1"/>
      <c r="N33" s="7"/>
      <c r="O33" s="104"/>
      <c r="AE33"/>
    </row>
    <row r="34" spans="1:36" x14ac:dyDescent="0.25">
      <c r="J34" s="33"/>
      <c r="K34" s="1"/>
      <c r="L34" s="1"/>
      <c r="N34" s="7"/>
      <c r="O34" s="104"/>
      <c r="AE34"/>
    </row>
    <row r="35" spans="1:36" x14ac:dyDescent="0.25">
      <c r="A35" t="s">
        <v>9</v>
      </c>
      <c r="B35" s="16">
        <f>AVERAGE(B8:B32)</f>
        <v>733974.59519999998</v>
      </c>
      <c r="C35" s="16">
        <f t="shared" ref="C35:AJ35" si="11">AVERAGE(C8:C32)</f>
        <v>760248.62496000016</v>
      </c>
      <c r="D35" s="16">
        <f t="shared" si="11"/>
        <v>38305.467288</v>
      </c>
      <c r="E35" s="16">
        <f t="shared" si="11"/>
        <v>64579.497047999997</v>
      </c>
      <c r="F35" s="16">
        <f t="shared" si="11"/>
        <v>100128.26246107345</v>
      </c>
      <c r="G35" s="16">
        <f t="shared" si="11"/>
        <v>549.02487957170115</v>
      </c>
      <c r="H35" s="16">
        <f t="shared" si="11"/>
        <v>5275.744099081272</v>
      </c>
      <c r="I35" s="16"/>
      <c r="J35" s="16">
        <f t="shared" si="11"/>
        <v>170532.52848772641</v>
      </c>
      <c r="K35" s="15">
        <f t="shared" si="11"/>
        <v>764520.82005046692</v>
      </c>
      <c r="L35" s="15">
        <f t="shared" si="11"/>
        <v>935053.3485381935</v>
      </c>
      <c r="M35" s="16"/>
      <c r="N35" s="16">
        <f t="shared" si="11"/>
        <v>4004.4013012000009</v>
      </c>
      <c r="O35" s="16">
        <f t="shared" si="11"/>
        <v>3811.5124000000001</v>
      </c>
      <c r="P35" s="16">
        <f t="shared" si="11"/>
        <v>264131.34262742975</v>
      </c>
      <c r="Q35" s="16">
        <f t="shared" si="11"/>
        <v>836032.63082363782</v>
      </c>
      <c r="R35" s="16">
        <f t="shared" si="11"/>
        <v>4848.7017475999965</v>
      </c>
      <c r="S35" s="16">
        <f t="shared" si="11"/>
        <v>165693.18080188619</v>
      </c>
      <c r="T35" s="16">
        <f t="shared" si="11"/>
        <v>665490.7482741517</v>
      </c>
      <c r="U35" s="16">
        <f t="shared" si="11"/>
        <v>6888.9823199999992</v>
      </c>
      <c r="V35" s="16">
        <f t="shared" si="11"/>
        <v>665490.7482741517</v>
      </c>
      <c r="W35" s="16">
        <f t="shared" si="11"/>
        <v>210456.23964109449</v>
      </c>
      <c r="X35" s="16">
        <f t="shared" si="11"/>
        <v>216216</v>
      </c>
      <c r="Y35" s="16">
        <f t="shared" si="11"/>
        <v>51.47119999792001</v>
      </c>
      <c r="Z35" s="16">
        <f t="shared" si="11"/>
        <v>271.34675720000001</v>
      </c>
      <c r="AA35" s="15">
        <f t="shared" si="11"/>
        <v>215893.18204280204</v>
      </c>
      <c r="AB35" s="16">
        <f t="shared" si="11"/>
        <v>549.02487957170115</v>
      </c>
      <c r="AC35" s="16">
        <f t="shared" si="11"/>
        <v>181475.91920169067</v>
      </c>
      <c r="AD35" s="16">
        <f t="shared" si="11"/>
        <v>665490.7482741517</v>
      </c>
      <c r="AE35" s="16"/>
      <c r="AF35" s="16">
        <f t="shared" si="11"/>
        <v>960579.9170224875</v>
      </c>
      <c r="AG35" s="16">
        <f t="shared" si="11"/>
        <v>1124582.997188844</v>
      </c>
      <c r="AH35" s="16"/>
      <c r="AI35" s="16">
        <f t="shared" si="11"/>
        <v>-25526.568484293901</v>
      </c>
      <c r="AJ35" s="16">
        <f t="shared" si="11"/>
        <v>-189529.6486506502</v>
      </c>
    </row>
    <row r="36" spans="1:36" x14ac:dyDescent="0.25">
      <c r="L36" s="1"/>
    </row>
    <row r="37" spans="1:36" x14ac:dyDescent="0.25">
      <c r="L37" s="16"/>
    </row>
    <row r="38" spans="1:36" x14ac:dyDescent="0.25">
      <c r="L38" s="16"/>
    </row>
    <row r="39" spans="1:36" x14ac:dyDescent="0.25">
      <c r="A39" t="s">
        <v>10</v>
      </c>
      <c r="D39" t="s">
        <v>6</v>
      </c>
      <c r="E39" s="11"/>
      <c r="F39" s="93"/>
      <c r="G39" t="s">
        <v>7</v>
      </c>
      <c r="H39" s="16"/>
      <c r="J39" s="16"/>
    </row>
    <row r="40" spans="1:36" x14ac:dyDescent="0.25">
      <c r="A40" s="36" t="s">
        <v>2</v>
      </c>
      <c r="B40" s="37">
        <f>E35</f>
        <v>64579.497047999997</v>
      </c>
      <c r="D40" s="36" t="s">
        <v>11</v>
      </c>
      <c r="E40" s="61">
        <f>B41</f>
        <v>100128.26246107345</v>
      </c>
      <c r="F40" s="96"/>
      <c r="G40" s="36" t="s">
        <v>12</v>
      </c>
      <c r="H40" s="61">
        <f>P35</f>
        <v>264131.34262742975</v>
      </c>
      <c r="J40" s="16" t="s">
        <v>135</v>
      </c>
      <c r="K40" s="161" t="s">
        <v>136</v>
      </c>
    </row>
    <row r="41" spans="1:36" x14ac:dyDescent="0.25">
      <c r="A41" s="36" t="s">
        <v>11</v>
      </c>
      <c r="B41" s="37">
        <f>F35</f>
        <v>100128.26246107345</v>
      </c>
      <c r="D41" s="36" t="s">
        <v>13</v>
      </c>
      <c r="E41" s="61">
        <f>N35+R35+Z35</f>
        <v>9124.4498059999987</v>
      </c>
      <c r="F41" s="96"/>
      <c r="G41" s="36" t="s">
        <v>13</v>
      </c>
      <c r="H41" s="61">
        <f>E41</f>
        <v>9124.4498059999987</v>
      </c>
      <c r="J41" s="161" t="s">
        <v>137</v>
      </c>
      <c r="K41" s="161" t="s">
        <v>138</v>
      </c>
    </row>
    <row r="42" spans="1:36" x14ac:dyDescent="0.25">
      <c r="A42" s="36" t="s">
        <v>3</v>
      </c>
      <c r="B42" s="37">
        <f>H35</f>
        <v>5275.744099081272</v>
      </c>
      <c r="D42" s="103" t="s">
        <v>95</v>
      </c>
      <c r="E42" s="39">
        <f>O35</f>
        <v>3811.5124000000001</v>
      </c>
      <c r="G42" s="103" t="s">
        <v>95</v>
      </c>
      <c r="H42" s="39">
        <f>E42</f>
        <v>3811.5124000000001</v>
      </c>
      <c r="J42" s="161" t="s">
        <v>139</v>
      </c>
      <c r="K42" s="161" t="s">
        <v>140</v>
      </c>
    </row>
    <row r="43" spans="1:36" x14ac:dyDescent="0.25">
      <c r="A43" s="36" t="s">
        <v>20</v>
      </c>
      <c r="B43" s="37">
        <f>G35</f>
        <v>549.02487957170115</v>
      </c>
      <c r="D43" s="79" t="s">
        <v>103</v>
      </c>
      <c r="E43" s="39">
        <f>G35</f>
        <v>549.02487957170115</v>
      </c>
      <c r="G43" s="79" t="s">
        <v>103</v>
      </c>
      <c r="H43" s="39">
        <f>E43</f>
        <v>549.02487957170115</v>
      </c>
      <c r="J43" s="161" t="s">
        <v>141</v>
      </c>
      <c r="K43" s="161" t="s">
        <v>142</v>
      </c>
    </row>
    <row r="44" spans="1:36" x14ac:dyDescent="0.25">
      <c r="A44" s="38" t="s">
        <v>68</v>
      </c>
      <c r="B44" s="39">
        <f>K35</f>
        <v>764520.82005046692</v>
      </c>
      <c r="D44" s="36" t="s">
        <v>5</v>
      </c>
      <c r="E44" s="61">
        <f>AC35</f>
        <v>181475.91920169067</v>
      </c>
      <c r="F44" s="96"/>
      <c r="G44" s="36" t="s">
        <v>5</v>
      </c>
      <c r="H44" s="61">
        <f t="shared" ref="H44:H45" si="12">E44</f>
        <v>181475.91920169067</v>
      </c>
      <c r="J44" s="161" t="s">
        <v>143</v>
      </c>
      <c r="K44" s="161" t="s">
        <v>144</v>
      </c>
    </row>
    <row r="45" spans="1:36" x14ac:dyDescent="0.25">
      <c r="A45" s="36" t="s">
        <v>22</v>
      </c>
      <c r="B45" s="37">
        <f>SUM(B40:B44)</f>
        <v>935053.34853819339</v>
      </c>
      <c r="D45" s="38" t="s">
        <v>18</v>
      </c>
      <c r="E45" s="61">
        <f>AD35</f>
        <v>665490.7482741517</v>
      </c>
      <c r="F45" s="97"/>
      <c r="G45" s="38" t="s">
        <v>18</v>
      </c>
      <c r="H45" s="61">
        <f t="shared" si="12"/>
        <v>665490.7482741517</v>
      </c>
      <c r="J45" s="161" t="s">
        <v>5</v>
      </c>
      <c r="K45" s="161" t="s">
        <v>145</v>
      </c>
    </row>
    <row r="46" spans="1:36" x14ac:dyDescent="0.25">
      <c r="D46" s="38" t="s">
        <v>42</v>
      </c>
      <c r="E46" s="61">
        <f>B45-E47</f>
        <v>-25526.568484294228</v>
      </c>
      <c r="F46" s="98"/>
      <c r="G46" s="38" t="s">
        <v>42</v>
      </c>
      <c r="H46" s="76">
        <f>B45-H47</f>
        <v>-189529.6486506504</v>
      </c>
      <c r="J46" s="5" t="s">
        <v>146</v>
      </c>
      <c r="K46" s="161" t="s">
        <v>147</v>
      </c>
      <c r="L46" s="16"/>
    </row>
    <row r="47" spans="1:36" x14ac:dyDescent="0.25">
      <c r="D47" s="38" t="s">
        <v>22</v>
      </c>
      <c r="E47" s="61">
        <f>SUM(E40:E45)</f>
        <v>960579.91702248761</v>
      </c>
      <c r="F47" s="4"/>
      <c r="G47" s="38" t="s">
        <v>22</v>
      </c>
      <c r="H47" s="111">
        <f>SUM(H40:H45)</f>
        <v>1124582.9971888438</v>
      </c>
      <c r="J47" s="5" t="s">
        <v>148</v>
      </c>
      <c r="K47" s="161" t="s">
        <v>149</v>
      </c>
      <c r="L47" s="16"/>
    </row>
    <row r="48" spans="1:36" x14ac:dyDescent="0.25">
      <c r="J48" s="5" t="s">
        <v>150</v>
      </c>
      <c r="K48" s="161" t="s">
        <v>151</v>
      </c>
      <c r="L48" s="16"/>
    </row>
    <row r="49" spans="10:12" x14ac:dyDescent="0.25">
      <c r="J49" s="125" t="s">
        <v>152</v>
      </c>
      <c r="K49" s="125" t="s">
        <v>153</v>
      </c>
      <c r="L49" s="16"/>
    </row>
    <row r="50" spans="10:12" x14ac:dyDescent="0.25">
      <c r="J50" s="125" t="s">
        <v>154</v>
      </c>
      <c r="K50" s="125" t="s">
        <v>155</v>
      </c>
      <c r="L50" s="16"/>
    </row>
    <row r="51" spans="10:12" x14ac:dyDescent="0.25">
      <c r="L51" s="16"/>
    </row>
    <row r="52" spans="10:12" x14ac:dyDescent="0.25">
      <c r="L52" s="16"/>
    </row>
    <row r="53" spans="10:12" x14ac:dyDescent="0.25">
      <c r="L53" s="16"/>
    </row>
    <row r="54" spans="10:12" x14ac:dyDescent="0.25">
      <c r="L54" s="16"/>
    </row>
    <row r="55" spans="10:12" x14ac:dyDescent="0.25">
      <c r="L55" s="16"/>
    </row>
    <row r="56" spans="10:12" x14ac:dyDescent="0.25">
      <c r="L56" s="16"/>
    </row>
    <row r="57" spans="10:12" x14ac:dyDescent="0.25">
      <c r="L57" s="16"/>
    </row>
    <row r="58" spans="10:12" x14ac:dyDescent="0.25">
      <c r="L58" s="16"/>
    </row>
    <row r="59" spans="10:12" x14ac:dyDescent="0.25">
      <c r="L59" s="16"/>
    </row>
  </sheetData>
  <mergeCells count="1">
    <mergeCell ref="A6:A7"/>
  </mergeCells>
  <printOptions gridLines="1"/>
  <pageMargins left="0.7" right="0.7" top="0.75" bottom="0.75" header="0.3" footer="0.3"/>
  <pageSetup paperSize="3" scale="98" fitToWidth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1:AL62"/>
  <sheetViews>
    <sheetView showGridLines="0" topLeftCell="R1" zoomScale="70" zoomScaleNormal="70" workbookViewId="0">
      <selection activeCell="N9" sqref="N9"/>
    </sheetView>
  </sheetViews>
  <sheetFormatPr defaultColWidth="9.140625" defaultRowHeight="15" x14ac:dyDescent="0.25"/>
  <cols>
    <col min="1" max="2" width="17.42578125" style="6" customWidth="1"/>
    <col min="3" max="7" width="25" style="6" customWidth="1"/>
    <col min="8" max="8" width="29.140625" style="6" customWidth="1"/>
    <col min="9" max="9" width="19.28515625" style="6" customWidth="1"/>
    <col min="10" max="10" width="26.5703125" style="6" customWidth="1"/>
    <col min="11" max="11" width="25.7109375" style="1" customWidth="1"/>
    <col min="12" max="13" width="17.85546875" style="1" customWidth="1"/>
    <col min="14" max="14" width="22.5703125" style="46" customWidth="1"/>
    <col min="15" max="15" width="22.5703125" style="124" customWidth="1"/>
    <col min="16" max="16" width="33.42578125" style="6" customWidth="1"/>
    <col min="17" max="21" width="22.42578125" style="6" customWidth="1"/>
    <col min="22" max="22" width="33.7109375" style="6" customWidth="1"/>
    <col min="23" max="30" width="22.85546875" style="6" customWidth="1"/>
    <col min="31" max="31" width="22.85546875" customWidth="1"/>
    <col min="32" max="32" width="22.85546875" style="52" customWidth="1"/>
    <col min="33" max="33" width="22.85546875" style="63" customWidth="1"/>
    <col min="34" max="34" width="15.7109375" style="6" customWidth="1"/>
    <col min="35" max="35" width="19" style="6" customWidth="1"/>
    <col min="36" max="36" width="22.7109375" style="6" customWidth="1"/>
    <col min="37" max="37" width="19" style="6" customWidth="1"/>
    <col min="38" max="39" width="18.7109375" style="6" customWidth="1"/>
    <col min="40" max="40" width="9.140625" style="6"/>
    <col min="41" max="41" width="8.28515625" style="6" bestFit="1" customWidth="1"/>
    <col min="42" max="42" width="32.5703125" style="6" bestFit="1" customWidth="1"/>
    <col min="43" max="43" width="8.28515625" style="6" bestFit="1" customWidth="1"/>
    <col min="44" max="16384" width="9.140625" style="6"/>
  </cols>
  <sheetData>
    <row r="1" spans="1:38" x14ac:dyDescent="0.25">
      <c r="A1" s="6" t="s">
        <v>108</v>
      </c>
      <c r="B1" s="162">
        <v>43262</v>
      </c>
      <c r="K1" s="127"/>
      <c r="L1" s="127"/>
      <c r="M1" s="127"/>
      <c r="N1" s="127"/>
      <c r="O1" s="127"/>
      <c r="AE1" s="161"/>
      <c r="AF1" s="161"/>
      <c r="AG1" s="161"/>
    </row>
    <row r="2" spans="1:38" x14ac:dyDescent="0.25">
      <c r="A2" s="6" t="s">
        <v>109</v>
      </c>
      <c r="B2" s="6" t="s">
        <v>110</v>
      </c>
      <c r="K2" s="127"/>
      <c r="L2" s="127"/>
      <c r="M2" s="127"/>
      <c r="N2" s="127"/>
      <c r="O2" s="127"/>
      <c r="AE2" s="161"/>
      <c r="AF2" s="161"/>
      <c r="AG2" s="161"/>
    </row>
    <row r="3" spans="1:38" x14ac:dyDescent="0.25">
      <c r="A3" s="6" t="s">
        <v>25</v>
      </c>
      <c r="K3" s="20"/>
      <c r="L3" s="20"/>
      <c r="M3" s="20"/>
      <c r="P3" s="1"/>
      <c r="Q3" s="94"/>
      <c r="R3" s="99"/>
      <c r="S3" s="124"/>
      <c r="T3" s="99"/>
      <c r="U3" s="124"/>
      <c r="V3" s="1"/>
      <c r="W3" s="1"/>
      <c r="X3" s="89"/>
      <c r="Y3" s="99"/>
      <c r="Z3" s="124"/>
      <c r="AA3" s="99"/>
      <c r="AB3" s="1"/>
      <c r="AC3" s="124"/>
      <c r="AD3" s="106"/>
      <c r="AE3" s="1"/>
      <c r="AF3" s="53"/>
      <c r="AG3" s="64"/>
      <c r="AH3" s="1"/>
    </row>
    <row r="4" spans="1:38" x14ac:dyDescent="0.25">
      <c r="A4" s="6" t="s">
        <v>23</v>
      </c>
      <c r="K4" s="22"/>
      <c r="L4" s="22"/>
      <c r="M4" s="22"/>
      <c r="P4" s="1"/>
      <c r="Q4" s="94"/>
      <c r="R4" s="99"/>
      <c r="S4" s="124"/>
      <c r="T4" s="99"/>
      <c r="U4" s="124"/>
      <c r="V4" s="1"/>
      <c r="W4" s="1"/>
      <c r="X4" s="89"/>
      <c r="Y4" s="99"/>
      <c r="Z4" s="124"/>
      <c r="AA4" s="99"/>
      <c r="AB4" s="1"/>
      <c r="AC4" s="124"/>
      <c r="AD4" s="106"/>
      <c r="AE4" s="1"/>
      <c r="AF4" s="53"/>
      <c r="AG4" s="64"/>
      <c r="AH4" s="1"/>
      <c r="AI4" s="1"/>
      <c r="AJ4" s="127"/>
      <c r="AK4" s="1"/>
    </row>
    <row r="5" spans="1:38" s="10" customFormat="1" ht="15" customHeight="1" x14ac:dyDescent="0.25">
      <c r="A5" s="45"/>
      <c r="B5" s="45"/>
      <c r="C5" s="45"/>
      <c r="D5" s="45"/>
      <c r="E5" s="45"/>
      <c r="F5" s="32"/>
      <c r="G5" s="45"/>
      <c r="J5" s="131"/>
      <c r="K5" s="25"/>
      <c r="L5" s="25"/>
      <c r="M5" s="1"/>
      <c r="O5" s="133"/>
      <c r="P5" s="131"/>
      <c r="Q5" s="135"/>
      <c r="R5" s="135"/>
      <c r="S5" s="135"/>
      <c r="T5" s="135"/>
      <c r="U5" s="135"/>
      <c r="V5" s="133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H5" s="138"/>
      <c r="AI5" s="138"/>
      <c r="AJ5" s="138"/>
      <c r="AK5" s="138"/>
      <c r="AL5" s="138"/>
    </row>
    <row r="6" spans="1:38" s="10" customFormat="1" ht="30" x14ac:dyDescent="0.25">
      <c r="A6" s="185" t="s">
        <v>1</v>
      </c>
      <c r="B6" s="163" t="s">
        <v>123</v>
      </c>
      <c r="C6" s="163" t="s">
        <v>124</v>
      </c>
      <c r="D6" s="163" t="s">
        <v>54</v>
      </c>
      <c r="E6" s="163" t="s">
        <v>98</v>
      </c>
      <c r="F6" s="164" t="s">
        <v>3</v>
      </c>
      <c r="G6" s="163" t="s">
        <v>20</v>
      </c>
      <c r="H6" s="164" t="s">
        <v>11</v>
      </c>
      <c r="I6" s="130"/>
      <c r="J6" s="163" t="s">
        <v>118</v>
      </c>
      <c r="K6" s="163" t="s">
        <v>93</v>
      </c>
      <c r="L6" s="163" t="s">
        <v>56</v>
      </c>
      <c r="M6" s="1"/>
      <c r="N6" s="166" t="s">
        <v>125</v>
      </c>
      <c r="O6" s="166" t="s">
        <v>95</v>
      </c>
      <c r="P6" s="166" t="s">
        <v>12</v>
      </c>
      <c r="Q6" s="166" t="s">
        <v>55</v>
      </c>
      <c r="R6" s="166" t="s">
        <v>57</v>
      </c>
      <c r="S6" s="166" t="s">
        <v>101</v>
      </c>
      <c r="T6" s="166" t="s">
        <v>126</v>
      </c>
      <c r="U6" s="166" t="s">
        <v>100</v>
      </c>
      <c r="V6" s="166" t="s">
        <v>82</v>
      </c>
      <c r="W6" s="166" t="s">
        <v>44</v>
      </c>
      <c r="X6" s="166" t="s">
        <v>53</v>
      </c>
      <c r="Y6" s="166" t="s">
        <v>59</v>
      </c>
      <c r="Z6" s="166" t="s">
        <v>102</v>
      </c>
      <c r="AA6" s="166" t="s">
        <v>127</v>
      </c>
      <c r="AB6" s="166" t="s">
        <v>5</v>
      </c>
      <c r="AC6" s="163" t="s">
        <v>20</v>
      </c>
      <c r="AD6" s="166" t="s">
        <v>43</v>
      </c>
      <c r="AE6" s="166" t="s">
        <v>34</v>
      </c>
      <c r="AF6" s="166" t="s">
        <v>128</v>
      </c>
      <c r="AH6" s="166" t="s">
        <v>6</v>
      </c>
      <c r="AI6" s="166" t="s">
        <v>7</v>
      </c>
      <c r="AJ6" s="130"/>
      <c r="AK6" s="166" t="s">
        <v>36</v>
      </c>
      <c r="AL6" s="166" t="s">
        <v>37</v>
      </c>
    </row>
    <row r="7" spans="1:38" s="10" customFormat="1" ht="19.5" customHeigh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64" t="s">
        <v>8</v>
      </c>
      <c r="G7" s="164" t="s">
        <v>8</v>
      </c>
      <c r="H7" s="164" t="s">
        <v>8</v>
      </c>
      <c r="I7" s="130"/>
      <c r="J7" s="164" t="s">
        <v>8</v>
      </c>
      <c r="K7" s="164" t="s">
        <v>8</v>
      </c>
      <c r="L7" s="164" t="s">
        <v>8</v>
      </c>
      <c r="M7" s="1"/>
      <c r="N7" s="164" t="s">
        <v>8</v>
      </c>
      <c r="O7" s="164" t="s">
        <v>97</v>
      </c>
      <c r="P7" s="164" t="s">
        <v>8</v>
      </c>
      <c r="Q7" s="164" t="s">
        <v>8</v>
      </c>
      <c r="R7" s="164" t="s">
        <v>8</v>
      </c>
      <c r="S7" s="164" t="s">
        <v>8</v>
      </c>
      <c r="T7" s="164" t="s">
        <v>8</v>
      </c>
      <c r="U7" s="164" t="s">
        <v>8</v>
      </c>
      <c r="V7" s="164" t="s">
        <v>8</v>
      </c>
      <c r="W7" s="164" t="s">
        <v>8</v>
      </c>
      <c r="X7" s="164" t="s">
        <v>8</v>
      </c>
      <c r="Y7" s="164" t="s">
        <v>8</v>
      </c>
      <c r="Z7" s="164" t="s">
        <v>8</v>
      </c>
      <c r="AA7" s="164" t="s">
        <v>8</v>
      </c>
      <c r="AB7" s="164" t="s">
        <v>8</v>
      </c>
      <c r="AC7" s="164" t="s">
        <v>8</v>
      </c>
      <c r="AD7" s="164" t="s">
        <v>8</v>
      </c>
      <c r="AE7" s="164" t="s">
        <v>8</v>
      </c>
      <c r="AF7" s="164" t="s">
        <v>8</v>
      </c>
      <c r="AH7" s="164" t="s">
        <v>8</v>
      </c>
      <c r="AI7" s="164" t="s">
        <v>8</v>
      </c>
      <c r="AJ7" s="130"/>
      <c r="AK7" s="164" t="s">
        <v>8</v>
      </c>
      <c r="AL7" s="164" t="s">
        <v>8</v>
      </c>
    </row>
    <row r="8" spans="1:38" x14ac:dyDescent="0.25">
      <c r="A8" s="147">
        <v>1988</v>
      </c>
      <c r="B8" s="78">
        <f>'[1]Capped Flow'!Q7</f>
        <v>490329.17999999993</v>
      </c>
      <c r="C8" s="78">
        <f>'[1]Capped Flow'!T7</f>
        <v>132739.19999999998</v>
      </c>
      <c r="D8" s="78">
        <f>'[1]Upper Platte Gage Data'!H8</f>
        <v>39647.520000000004</v>
      </c>
      <c r="E8" s="78">
        <f>C8-B8+D8</f>
        <v>-317942.45999999996</v>
      </c>
      <c r="F8" s="72">
        <f>[2]SWCU!L10</f>
        <v>102833.7070218468</v>
      </c>
      <c r="G8" s="76">
        <f>IF('[2]Reservoir Evap'!K11&gt;0,'[2]Reservoir Evap'!K11,0)</f>
        <v>911.91031260645173</v>
      </c>
      <c r="H8" s="72">
        <f>'[2]GW Depletions'!U15+'[2]GW Depletions'!T15</f>
        <v>30062.183139118457</v>
      </c>
      <c r="J8" s="78">
        <f t="shared" ref="J8:J32" si="0">SUM(E8:H8)</f>
        <v>-184134.65952642827</v>
      </c>
      <c r="K8" s="154">
        <f>'[3]Req Inflow'!M7</f>
        <v>151953.371587687</v>
      </c>
      <c r="L8" s="154">
        <f t="shared" ref="L8:L32" si="1">J8+K8</f>
        <v>-32181.287938741269</v>
      </c>
      <c r="N8" s="72">
        <f>[2]SWDemand!T14</f>
        <v>64258.275749999979</v>
      </c>
      <c r="O8" s="72">
        <f>'[2]M&amp;I COHYST Summary'!E36</f>
        <v>1564.67</v>
      </c>
      <c r="P8" s="72">
        <f>MAX([2]GWCU!H12*0.3+[2]GWCU!I12*0.3+[2]GWCU!J12*0.3,H8)</f>
        <v>76092.884722499992</v>
      </c>
      <c r="Q8" s="72">
        <f>MIN(B8+'NorthPlatte_IRR Season'!H8+'Lewellen_Irrigation Season'!E8+'SPlatte_Irrigation Season'!G8,'[2]Hydro Demand'!$C$23)</f>
        <v>409860</v>
      </c>
      <c r="R8" s="72">
        <f>[2]SWDemand!Q14</f>
        <v>105794.55872999973</v>
      </c>
      <c r="S8" s="72">
        <f>'[2]Net SW Loss'!P13</f>
        <v>153023.97999491985</v>
      </c>
      <c r="T8" s="72">
        <f t="shared" ref="T8:T32" si="2">Q8-R8-S8</f>
        <v>151041.46127508045</v>
      </c>
      <c r="U8" s="72">
        <f>'[1]Upper Platte Gage Data'!K8</f>
        <v>52497.72</v>
      </c>
      <c r="V8" s="72">
        <f>IF('[3]DS Demand'!Q7&gt;0,'[3]DS Demand'!Q7,0)</f>
        <v>151041.46127508045</v>
      </c>
      <c r="W8" s="72">
        <f>'[4]Odessa Instream Flow Calc'!L7</f>
        <v>37941.455048135263</v>
      </c>
      <c r="X8" s="72">
        <f>MIN('[2]Hydro Demand'!$C$16,'[1]Capped Flow'!S7+'NorthPlatte_IRR Season'!H8+'Lewellen_Irrigation Season'!E8+'SPlatte_Irrigation Season'!G8+'[2]GW Depletions'!T15)</f>
        <v>72864</v>
      </c>
      <c r="Y8" s="72">
        <f>[2]SWDemand!U14</f>
        <v>5138.4695100000044</v>
      </c>
      <c r="Z8" s="72">
        <f>'[2]Net SW Loss'!O13</f>
        <v>54.279999991000011</v>
      </c>
      <c r="AA8" s="72">
        <f>X8-Y8-Z8</f>
        <v>67671.250490008984</v>
      </c>
      <c r="AB8" s="73">
        <f>'[2]Net SW Loss'!N13+S8+Z8</f>
        <v>201566.34999366285</v>
      </c>
      <c r="AC8" s="111">
        <f t="shared" ref="AC8:AC32" si="3">G8</f>
        <v>911.91031260645173</v>
      </c>
      <c r="AD8" s="111">
        <f t="shared" ref="AD8:AD32" si="4">IF(AF8&lt;(N8+Y8+R8+AB8),0,AF8-(N8+Y8+R8+AB8))</f>
        <v>0</v>
      </c>
      <c r="AE8" s="111">
        <f t="shared" ref="AE8:AE32" si="5">MAX(V8,W8,AA8,T8)</f>
        <v>151041.46127508045</v>
      </c>
      <c r="AF8" s="111">
        <f>'NorthPlatte_IRR Season'!X8</f>
        <v>0</v>
      </c>
      <c r="AG8" s="19"/>
      <c r="AH8" s="73">
        <f t="shared" ref="AH8:AH32" si="6">Y8+R8+H8+N8+AB8+AE8+IF(AF8&lt;(N8+Y8+R8+AB8),-AF8,-(N8+Y8+R8+AB8))+AC8+O8</f>
        <v>560337.87871046795</v>
      </c>
      <c r="AI8" s="73">
        <f>Y8+R8+N8+P8+AB8+AE8+IF(AF8&lt;(N8+Y8+R8+AB8),-AF8,-(N8+Y8+R8+AB8))+AC8+O8</f>
        <v>606368.58029384958</v>
      </c>
      <c r="AJ8" s="142"/>
      <c r="AK8" s="87">
        <f t="shared" ref="AK8:AK32" si="7">$L8-AH8</f>
        <v>-592519.16664920922</v>
      </c>
      <c r="AL8" s="87">
        <f t="shared" ref="AL8:AL32" si="8">$L8-AI8</f>
        <v>-638549.86823259084</v>
      </c>
    </row>
    <row r="9" spans="1:38" x14ac:dyDescent="0.25">
      <c r="A9" s="147">
        <v>1989</v>
      </c>
      <c r="B9" s="78">
        <f>'[1]Capped Flow'!Q8</f>
        <v>453909.05999999982</v>
      </c>
      <c r="C9" s="78">
        <f>'[1]Capped Flow'!T8</f>
        <v>101948.22000000004</v>
      </c>
      <c r="D9" s="78">
        <f>'[1]Upper Platte Gage Data'!H9</f>
        <v>42587.819999999978</v>
      </c>
      <c r="E9" s="78">
        <f t="shared" ref="E9:E32" si="9">C9-B9+D9</f>
        <v>-309373.01999999979</v>
      </c>
      <c r="F9" s="72">
        <f>[2]SWCU!L11</f>
        <v>105715.56955051782</v>
      </c>
      <c r="G9" s="76">
        <f>IF('[2]Reservoir Evap'!K12&gt;0,'[2]Reservoir Evap'!K12,0)</f>
        <v>997.00305020083579</v>
      </c>
      <c r="H9" s="72">
        <f>'[2]GW Depletions'!U16+'[2]GW Depletions'!T16</f>
        <v>32834.419554407716</v>
      </c>
      <c r="J9" s="78">
        <f t="shared" si="0"/>
        <v>-169826.0278448734</v>
      </c>
      <c r="K9" s="154">
        <f>'[3]Req Inflow'!M8</f>
        <v>166709.32070928102</v>
      </c>
      <c r="L9" s="154">
        <f t="shared" si="1"/>
        <v>-3116.7071355923836</v>
      </c>
      <c r="N9" s="72">
        <f>[2]SWDemand!T15</f>
        <v>86791.112100000013</v>
      </c>
      <c r="O9" s="72">
        <f>'[2]M&amp;I COHYST Summary'!E37</f>
        <v>1659.4</v>
      </c>
      <c r="P9" s="72">
        <f>MAX([2]GWCU!H13*0.3+[2]GWCU!I13*0.3+[2]GWCU!J13*0.3,H9)</f>
        <v>94112.355237499927</v>
      </c>
      <c r="Q9" s="72">
        <f>MIN(B9+'NorthPlatte_IRR Season'!H9+'Lewellen_Irrigation Season'!E9+'SPlatte_Irrigation Season'!G9,'[2]Hydro Demand'!$C$23)</f>
        <v>409860</v>
      </c>
      <c r="R9" s="72">
        <f>[2]SWDemand!Q15</f>
        <v>94873.952339999974</v>
      </c>
      <c r="S9" s="72">
        <f>'[2]Net SW Loss'!P14</f>
        <v>149273.73000091992</v>
      </c>
      <c r="T9" s="72">
        <f t="shared" si="2"/>
        <v>165712.31765908012</v>
      </c>
      <c r="U9" s="72">
        <f>'[1]Upper Platte Gage Data'!K9</f>
        <v>59801.940000000017</v>
      </c>
      <c r="V9" s="72">
        <f>IF('[3]DS Demand'!Q8&gt;0,'[3]DS Demand'!Q8,0)</f>
        <v>165712.31765908012</v>
      </c>
      <c r="W9" s="72">
        <f>'[4]Odessa Instream Flow Calc'!L8</f>
        <v>23005.645451627395</v>
      </c>
      <c r="X9" s="72">
        <f>MIN('[2]Hydro Demand'!$C$16,'[1]Capped Flow'!S8+'NorthPlatte_IRR Season'!H9+'Lewellen_Irrigation Season'!E9+'SPlatte_Irrigation Season'!G9+'[2]GW Depletions'!T16)</f>
        <v>72864</v>
      </c>
      <c r="Y9" s="72">
        <f>[2]SWDemand!U15</f>
        <v>3505.8874499999997</v>
      </c>
      <c r="Z9" s="72">
        <f>'[2]Net SW Loss'!O14</f>
        <v>54.279999991000011</v>
      </c>
      <c r="AA9" s="72">
        <f t="shared" ref="AA9:AA32" si="10">X9-Y9-Z9</f>
        <v>69303.832550009</v>
      </c>
      <c r="AB9" s="73">
        <f>'[2]Net SW Loss'!N14+S9+Z9</f>
        <v>197530.47999990292</v>
      </c>
      <c r="AC9" s="111">
        <f t="shared" si="3"/>
        <v>997.00305020083579</v>
      </c>
      <c r="AD9" s="111">
        <f t="shared" si="4"/>
        <v>0</v>
      </c>
      <c r="AE9" s="111">
        <f t="shared" si="5"/>
        <v>165712.31765908012</v>
      </c>
      <c r="AF9" s="111">
        <f>'NorthPlatte_IRR Season'!X9</f>
        <v>0</v>
      </c>
      <c r="AG9" s="19"/>
      <c r="AH9" s="73">
        <f t="shared" si="6"/>
        <v>583904.57215359167</v>
      </c>
      <c r="AI9" s="73">
        <f t="shared" ref="AI9:AI32" si="11">Y9+R9+N9+P9+AB9+AE9+IF(AF9&lt;(N9+Y9+R9+AB9),-AF9,-(N9+Y9+R9+AB9))+AC9+O9</f>
        <v>645182.50783668389</v>
      </c>
      <c r="AJ9" s="142"/>
      <c r="AK9" s="87">
        <f t="shared" si="7"/>
        <v>-587021.27928918402</v>
      </c>
      <c r="AL9" s="87">
        <f t="shared" si="8"/>
        <v>-648299.21497227624</v>
      </c>
    </row>
    <row r="10" spans="1:38" x14ac:dyDescent="0.25">
      <c r="A10" s="147">
        <v>1990</v>
      </c>
      <c r="B10" s="78">
        <f>'[1]Capped Flow'!Q9</f>
        <v>458734.32000000018</v>
      </c>
      <c r="C10" s="78">
        <f>'[1]Capped Flow'!T9</f>
        <v>48113.999999999993</v>
      </c>
      <c r="D10" s="78">
        <f>'[1]Upper Platte Gage Data'!H10</f>
        <v>47268.539999999994</v>
      </c>
      <c r="E10" s="78">
        <f t="shared" si="9"/>
        <v>-363351.7800000002</v>
      </c>
      <c r="F10" s="72">
        <f>[2]SWCU!L12</f>
        <v>126909.65679661004</v>
      </c>
      <c r="G10" s="76">
        <f>IF('[2]Reservoir Evap'!K13&gt;0,'[2]Reservoir Evap'!K13,0)</f>
        <v>953.71591782672544</v>
      </c>
      <c r="H10" s="72">
        <f>'[2]GW Depletions'!U17+'[2]GW Depletions'!T17</f>
        <v>34320.197999885218</v>
      </c>
      <c r="J10" s="78">
        <f t="shared" si="0"/>
        <v>-201168.20928567823</v>
      </c>
      <c r="K10" s="154">
        <f>'[3]Req Inflow'!M9</f>
        <v>140981.2740885563</v>
      </c>
      <c r="L10" s="154">
        <f t="shared" si="1"/>
        <v>-60186.935197121929</v>
      </c>
      <c r="N10" s="72">
        <f>[2]SWDemand!T16</f>
        <v>89410.005780000021</v>
      </c>
      <c r="O10" s="72">
        <f>'[2]M&amp;I COHYST Summary'!E38</f>
        <v>1691.3799999999997</v>
      </c>
      <c r="P10" s="72">
        <f>MAX([2]GWCU!H14*0.3+[2]GWCU!I14*0.3+[2]GWCU!J14*0.3,H10)</f>
        <v>101490.08802749992</v>
      </c>
      <c r="Q10" s="72">
        <f>MIN(B10+'NorthPlatte_IRR Season'!H10+'Lewellen_Irrigation Season'!E10+'SPlatte_Irrigation Season'!G10,'[2]Hydro Demand'!$C$23)</f>
        <v>409860</v>
      </c>
      <c r="R10" s="72">
        <f>[2]SWDemand!Q16</f>
        <v>121385.64183000042</v>
      </c>
      <c r="S10" s="72">
        <f>'[2]Net SW Loss'!P15</f>
        <v>148446.79999926998</v>
      </c>
      <c r="T10" s="72">
        <f t="shared" si="2"/>
        <v>140027.55817072958</v>
      </c>
      <c r="U10" s="72">
        <f>'[1]Upper Platte Gage Data'!K10</f>
        <v>41821.56</v>
      </c>
      <c r="V10" s="72">
        <f>IF('[3]DS Demand'!Q9&gt;0,'[3]DS Demand'!Q9,0)</f>
        <v>140027.55817072958</v>
      </c>
      <c r="W10" s="72">
        <f>'[4]Odessa Instream Flow Calc'!L9</f>
        <v>2397.8086295445537</v>
      </c>
      <c r="X10" s="72">
        <f>MIN('[2]Hydro Demand'!$C$16,'[1]Capped Flow'!S9+'NorthPlatte_IRR Season'!H10+'Lewellen_Irrigation Season'!E10+'SPlatte_Irrigation Season'!G10+'[2]GW Depletions'!T17)</f>
        <v>72864</v>
      </c>
      <c r="Y10" s="72">
        <f>[2]SWDemand!U16</f>
        <v>4922.7599100000052</v>
      </c>
      <c r="Z10" s="72">
        <f>'[2]Net SW Loss'!O15</f>
        <v>54.279999991000011</v>
      </c>
      <c r="AA10" s="72">
        <f t="shared" si="10"/>
        <v>67886.960090008986</v>
      </c>
      <c r="AB10" s="73">
        <f>'[2]Net SW Loss'!N15+S10+Z10</f>
        <v>196924.46999843296</v>
      </c>
      <c r="AC10" s="111">
        <f t="shared" si="3"/>
        <v>953.71591782672544</v>
      </c>
      <c r="AD10" s="111">
        <f t="shared" si="4"/>
        <v>0</v>
      </c>
      <c r="AE10" s="111">
        <f t="shared" si="5"/>
        <v>140027.55817072958</v>
      </c>
      <c r="AF10" s="111">
        <f>'NorthPlatte_IRR Season'!X10</f>
        <v>0</v>
      </c>
      <c r="AG10" s="19"/>
      <c r="AH10" s="73">
        <f t="shared" si="6"/>
        <v>589635.72960687499</v>
      </c>
      <c r="AI10" s="73">
        <f t="shared" si="11"/>
        <v>656805.61963448965</v>
      </c>
      <c r="AJ10" s="142"/>
      <c r="AK10" s="87">
        <f t="shared" si="7"/>
        <v>-649822.66480399691</v>
      </c>
      <c r="AL10" s="87">
        <f t="shared" si="8"/>
        <v>-716992.55483161157</v>
      </c>
    </row>
    <row r="11" spans="1:38" x14ac:dyDescent="0.25">
      <c r="A11" s="147">
        <v>1991</v>
      </c>
      <c r="B11" s="78">
        <f>'[1]Capped Flow'!Q10</f>
        <v>494839.62000000011</v>
      </c>
      <c r="C11" s="78">
        <f>'[1]Capped Flow'!T10</f>
        <v>94149.000000000044</v>
      </c>
      <c r="D11" s="78">
        <f>'[1]Upper Platte Gage Data'!H11</f>
        <v>26080.55999999999</v>
      </c>
      <c r="E11" s="78">
        <f t="shared" si="9"/>
        <v>-374610.06000000006</v>
      </c>
      <c r="F11" s="72">
        <f>[2]SWCU!L13</f>
        <v>113299.52396064365</v>
      </c>
      <c r="G11" s="76">
        <f>IF('[2]Reservoir Evap'!K14&gt;0,'[2]Reservoir Evap'!K14,0)</f>
        <v>813.93301996921491</v>
      </c>
      <c r="H11" s="72">
        <f>'[2]GW Depletions'!U18+'[2]GW Depletions'!T18</f>
        <v>34266.007034550043</v>
      </c>
      <c r="J11" s="78">
        <f t="shared" si="0"/>
        <v>-226230.59598483716</v>
      </c>
      <c r="K11" s="154">
        <f>'[3]Req Inflow'!M10</f>
        <v>143476.13658747898</v>
      </c>
      <c r="L11" s="154">
        <f t="shared" si="1"/>
        <v>-82754.45939735818</v>
      </c>
      <c r="N11" s="72">
        <f>[2]SWDemand!T17</f>
        <v>70981.427100000059</v>
      </c>
      <c r="O11" s="72">
        <f>'[2]M&amp;I COHYST Summary'!E39</f>
        <v>1724.8200000000002</v>
      </c>
      <c r="P11" s="72">
        <f>MAX([2]GWCU!H15*0.3+[2]GWCU!I15*0.3+[2]GWCU!J15*0.3,H11)</f>
        <v>86942.471497499937</v>
      </c>
      <c r="Q11" s="72">
        <f>MIN(B11+'NorthPlatte_IRR Season'!H11+'Lewellen_Irrigation Season'!E11+'SPlatte_Irrigation Season'!G11,'[2]Hydro Demand'!$C$23)</f>
        <v>409860</v>
      </c>
      <c r="R11" s="72">
        <f>[2]SWDemand!Q17</f>
        <v>115653.4764300003</v>
      </c>
      <c r="S11" s="72">
        <f>'[2]Net SW Loss'!P16</f>
        <v>151544.32000249007</v>
      </c>
      <c r="T11" s="72">
        <f t="shared" si="2"/>
        <v>142662.20356750966</v>
      </c>
      <c r="U11" s="72">
        <f>'[1]Upper Platte Gage Data'!K11</f>
        <v>23823.359999999997</v>
      </c>
      <c r="V11" s="72">
        <f>IF('[3]DS Demand'!Q10&gt;0,'[3]DS Demand'!Q10,0)</f>
        <v>142662.20356750966</v>
      </c>
      <c r="W11" s="72">
        <f>'[4]Odessa Instream Flow Calc'!L10</f>
        <v>32906.150621867113</v>
      </c>
      <c r="X11" s="72">
        <f>MIN('[2]Hydro Demand'!$C$16,'[1]Capped Flow'!S10+'NorthPlatte_IRR Season'!H11+'Lewellen_Irrigation Season'!E11+'SPlatte_Irrigation Season'!G11+'[2]GW Depletions'!T18)</f>
        <v>72864</v>
      </c>
      <c r="Y11" s="72">
        <f>[2]SWDemand!U17</f>
        <v>5479.5743099999954</v>
      </c>
      <c r="Z11" s="72">
        <f>'[2]Net SW Loss'!O16</f>
        <v>54.279999991000011</v>
      </c>
      <c r="AA11" s="72">
        <f t="shared" si="10"/>
        <v>67330.145690008998</v>
      </c>
      <c r="AB11" s="73">
        <f>'[2]Net SW Loss'!N16+S11+Z11</f>
        <v>200021.99000165309</v>
      </c>
      <c r="AC11" s="111">
        <f t="shared" si="3"/>
        <v>813.93301996921491</v>
      </c>
      <c r="AD11" s="111">
        <f t="shared" si="4"/>
        <v>0</v>
      </c>
      <c r="AE11" s="111">
        <f t="shared" si="5"/>
        <v>142662.20356750966</v>
      </c>
      <c r="AF11" s="111">
        <f>'NorthPlatte_IRR Season'!X11</f>
        <v>0</v>
      </c>
      <c r="AG11" s="19"/>
      <c r="AH11" s="73">
        <f t="shared" si="6"/>
        <v>571603.43146368233</v>
      </c>
      <c r="AI11" s="73">
        <f t="shared" si="11"/>
        <v>624279.89592663222</v>
      </c>
      <c r="AJ11" s="142"/>
      <c r="AK11" s="87">
        <f t="shared" si="7"/>
        <v>-654357.89086104045</v>
      </c>
      <c r="AL11" s="87">
        <f t="shared" si="8"/>
        <v>-707034.35532399034</v>
      </c>
    </row>
    <row r="12" spans="1:38" x14ac:dyDescent="0.25">
      <c r="A12" s="147">
        <v>1992</v>
      </c>
      <c r="B12" s="78">
        <f>'[1]Capped Flow'!Q11</f>
        <v>364508.10000000003</v>
      </c>
      <c r="C12" s="78">
        <f>'[1]Capped Flow'!T11</f>
        <v>112194.71999999993</v>
      </c>
      <c r="D12" s="78">
        <f>'[1]Upper Platte Gage Data'!H12</f>
        <v>28979.279999999988</v>
      </c>
      <c r="E12" s="78">
        <f t="shared" si="9"/>
        <v>-223334.10000000012</v>
      </c>
      <c r="F12" s="72">
        <f>[2]SWCU!L14</f>
        <v>86078.057519994443</v>
      </c>
      <c r="G12" s="76">
        <f>IF('[2]Reservoir Evap'!K15&gt;0,'[2]Reservoir Evap'!K15,0)</f>
        <v>676.10124285284826</v>
      </c>
      <c r="H12" s="72">
        <f>'[2]GW Depletions'!U19+'[2]GW Depletions'!T19</f>
        <v>34676.06289692378</v>
      </c>
      <c r="J12" s="78">
        <f t="shared" si="0"/>
        <v>-101903.87834022907</v>
      </c>
      <c r="K12" s="154">
        <f>'[3]Req Inflow'!M11</f>
        <v>179245.5446942033</v>
      </c>
      <c r="L12" s="154">
        <f t="shared" si="1"/>
        <v>77341.666353974229</v>
      </c>
      <c r="N12" s="72">
        <f>[2]SWDemand!T18</f>
        <v>61384.607760000043</v>
      </c>
      <c r="O12" s="72">
        <f>'[2]M&amp;I COHYST Summary'!E40</f>
        <v>1768.44</v>
      </c>
      <c r="P12" s="72">
        <f>MAX([2]GWCU!H16*0.3+[2]GWCU!I16*0.3+[2]GWCU!J16*0.3,H12)</f>
        <v>86380.684297499945</v>
      </c>
      <c r="Q12" s="72">
        <f>MIN(B12+'NorthPlatte_IRR Season'!H12+'Lewellen_Irrigation Season'!E12+'SPlatte_Irrigation Season'!G12,'[2]Hydro Demand'!$C$23)</f>
        <v>409860</v>
      </c>
      <c r="R12" s="72">
        <f>[2]SWDemand!Q18</f>
        <v>85841.896559999543</v>
      </c>
      <c r="S12" s="72">
        <f>'[2]Net SW Loss'!P17</f>
        <v>145448.65998865003</v>
      </c>
      <c r="T12" s="72">
        <f t="shared" si="2"/>
        <v>178569.44345135041</v>
      </c>
      <c r="U12" s="72">
        <f>'[1]Upper Platte Gage Data'!K12</f>
        <v>53711.45999999997</v>
      </c>
      <c r="V12" s="72">
        <f>IF('[3]DS Demand'!Q11&gt;0,'[3]DS Demand'!Q11,0)</f>
        <v>178569.44345135041</v>
      </c>
      <c r="W12" s="72">
        <f>'[4]Odessa Instream Flow Calc'!L11</f>
        <v>80645.11020462001</v>
      </c>
      <c r="X12" s="72">
        <f>MIN('[2]Hydro Demand'!$C$16,'[1]Capped Flow'!S11+'NorthPlatte_IRR Season'!H12+'Lewellen_Irrigation Season'!E12+'SPlatte_Irrigation Season'!G12+'[2]GW Depletions'!T19)</f>
        <v>72864</v>
      </c>
      <c r="Y12" s="72">
        <f>[2]SWDemand!U18</f>
        <v>3957.6180600000025</v>
      </c>
      <c r="Z12" s="72">
        <f>'[2]Net SW Loss'!O17</f>
        <v>53.569999992999954</v>
      </c>
      <c r="AA12" s="72">
        <f t="shared" si="10"/>
        <v>68852.811940006999</v>
      </c>
      <c r="AB12" s="73">
        <f>'[2]Net SW Loss'!N17+S12+Z12</f>
        <v>193990.31998739505</v>
      </c>
      <c r="AC12" s="111">
        <f t="shared" si="3"/>
        <v>676.10124285284826</v>
      </c>
      <c r="AD12" s="111">
        <f t="shared" si="4"/>
        <v>0</v>
      </c>
      <c r="AE12" s="111">
        <f t="shared" si="5"/>
        <v>178569.44345135041</v>
      </c>
      <c r="AF12" s="111">
        <f>'NorthPlatte_IRR Season'!X12</f>
        <v>58729.753159349886</v>
      </c>
      <c r="AG12" s="19"/>
      <c r="AH12" s="73">
        <f t="shared" si="6"/>
        <v>502134.73679917183</v>
      </c>
      <c r="AI12" s="73">
        <f t="shared" si="11"/>
        <v>553839.35819974798</v>
      </c>
      <c r="AJ12" s="142"/>
      <c r="AK12" s="87">
        <f t="shared" si="7"/>
        <v>-424793.07044519763</v>
      </c>
      <c r="AL12" s="87">
        <f t="shared" si="8"/>
        <v>-476497.69184577372</v>
      </c>
    </row>
    <row r="13" spans="1:38" x14ac:dyDescent="0.25">
      <c r="A13" s="147">
        <v>1993</v>
      </c>
      <c r="B13" s="78">
        <f>'[1]Capped Flow'!Q12</f>
        <v>240950.15999999997</v>
      </c>
      <c r="C13" s="78">
        <f>'[1]Capped Flow'!T12</f>
        <v>227668.32000000004</v>
      </c>
      <c r="D13" s="78">
        <f>'[1]Upper Platte Gage Data'!H13</f>
        <v>16623.090000000004</v>
      </c>
      <c r="E13" s="78">
        <f t="shared" si="9"/>
        <v>3341.2500000000655</v>
      </c>
      <c r="F13" s="72">
        <f>[2]SWCU!L15</f>
        <v>39747.551707354418</v>
      </c>
      <c r="G13" s="76">
        <f>IF('[2]Reservoir Evap'!K16&gt;0,'[2]Reservoir Evap'!K16,0)</f>
        <v>681.1039203869276</v>
      </c>
      <c r="H13" s="72">
        <f>'[2]GW Depletions'!U20+'[2]GW Depletions'!T20</f>
        <v>34344.922181359041</v>
      </c>
      <c r="J13" s="78">
        <f t="shared" si="0"/>
        <v>78114.827809100447</v>
      </c>
      <c r="K13" s="154">
        <f>'[3]Req Inflow'!M12</f>
        <v>115452.38953207948</v>
      </c>
      <c r="L13" s="154">
        <f t="shared" si="1"/>
        <v>193567.21734117993</v>
      </c>
      <c r="N13" s="72">
        <f>[2]SWDemand!T19</f>
        <v>30319.010580000064</v>
      </c>
      <c r="O13" s="72">
        <f>'[2]M&amp;I COHYST Summary'!E41</f>
        <v>1797.04</v>
      </c>
      <c r="P13" s="72">
        <f>MAX([2]GWCU!H17*0.3+[2]GWCU!I17*0.3+[2]GWCU!J17*0.3,H13)</f>
        <v>52433.58964250001</v>
      </c>
      <c r="Q13" s="72">
        <f>MIN(B13+'NorthPlatte_IRR Season'!H13+'Lewellen_Irrigation Season'!E13+'SPlatte_Irrigation Season'!G13,'[2]Hydro Demand'!$C$23)</f>
        <v>301696.63664768339</v>
      </c>
      <c r="R13" s="72">
        <f>[2]SWDemand!Q19</f>
        <v>41928.441540000014</v>
      </c>
      <c r="S13" s="72">
        <f>'[2]Net SW Loss'!P18</f>
        <v>124775.20999083004</v>
      </c>
      <c r="T13" s="72">
        <f t="shared" si="2"/>
        <v>134992.98511685332</v>
      </c>
      <c r="U13" s="72">
        <f>'[1]Upper Platte Gage Data'!K13</f>
        <v>43752.05999999999</v>
      </c>
      <c r="V13" s="72">
        <f>IF('[3]DS Demand'!Q12&gt;0,'[3]DS Demand'!Q12,0)</f>
        <v>134992.98511685332</v>
      </c>
      <c r="W13" s="72">
        <f>'[4]Odessa Instream Flow Calc'!L12</f>
        <v>115037.52377280616</v>
      </c>
      <c r="X13" s="72">
        <f>MIN('[2]Hydro Demand'!$C$16,'[1]Capped Flow'!S12+'NorthPlatte_IRR Season'!H13+'Lewellen_Irrigation Season'!E13+'SPlatte_Irrigation Season'!G13+'[2]GW Depletions'!T20)</f>
        <v>72864</v>
      </c>
      <c r="Y13" s="72">
        <f>[2]SWDemand!U19</f>
        <v>1831.3390499999962</v>
      </c>
      <c r="Z13" s="72">
        <f>'[2]Net SW Loss'!O18</f>
        <v>52.359999990999953</v>
      </c>
      <c r="AA13" s="72">
        <f t="shared" si="10"/>
        <v>70980.300950009012</v>
      </c>
      <c r="AB13" s="73">
        <f>'[2]Net SW Loss'!N18+S13+Z13</f>
        <v>173315.65998957306</v>
      </c>
      <c r="AC13" s="111">
        <f t="shared" si="3"/>
        <v>681.1039203869276</v>
      </c>
      <c r="AD13" s="111">
        <f t="shared" si="4"/>
        <v>31584.488069776766</v>
      </c>
      <c r="AE13" s="111">
        <f t="shared" si="5"/>
        <v>134992.98511685332</v>
      </c>
      <c r="AF13" s="111">
        <f>'NorthPlatte_IRR Season'!X13</f>
        <v>278978.9392293499</v>
      </c>
      <c r="AG13" s="19"/>
      <c r="AH13" s="73">
        <f t="shared" si="6"/>
        <v>171816.05121859931</v>
      </c>
      <c r="AI13" s="73">
        <f t="shared" si="11"/>
        <v>189904.71867974027</v>
      </c>
      <c r="AJ13" s="142"/>
      <c r="AK13" s="87">
        <f t="shared" si="7"/>
        <v>21751.166122580617</v>
      </c>
      <c r="AL13" s="87">
        <f t="shared" si="8"/>
        <v>3662.4986614396621</v>
      </c>
    </row>
    <row r="14" spans="1:38" x14ac:dyDescent="0.25">
      <c r="A14" s="147">
        <v>1994</v>
      </c>
      <c r="B14" s="78">
        <f>'[1]Capped Flow'!Q13</f>
        <v>409028.40000000014</v>
      </c>
      <c r="C14" s="78">
        <f>'[1]Capped Flow'!T13</f>
        <v>115491.42</v>
      </c>
      <c r="D14" s="78">
        <f>'[1]Upper Platte Gage Data'!H14</f>
        <v>31478.04</v>
      </c>
      <c r="E14" s="78">
        <f t="shared" si="9"/>
        <v>-262058.94000000015</v>
      </c>
      <c r="F14" s="72">
        <f>[2]SWCU!L16</f>
        <v>91474.140458863301</v>
      </c>
      <c r="G14" s="76">
        <f>IF('[2]Reservoir Evap'!K17&gt;0,'[2]Reservoir Evap'!K17,0)</f>
        <v>722.86181174870273</v>
      </c>
      <c r="H14" s="72">
        <f>'[2]GW Depletions'!U21+'[2]GW Depletions'!T21</f>
        <v>33477.975873393021</v>
      </c>
      <c r="J14" s="78">
        <f t="shared" si="0"/>
        <v>-136383.96185599512</v>
      </c>
      <c r="K14" s="154">
        <f>'[3]Req Inflow'!M13</f>
        <v>172930.49028885877</v>
      </c>
      <c r="L14" s="154">
        <f t="shared" si="1"/>
        <v>36546.528432863648</v>
      </c>
      <c r="N14" s="72">
        <f>[2]SWDemand!T20</f>
        <v>71827.993980000043</v>
      </c>
      <c r="O14" s="72">
        <f>'[2]M&amp;I COHYST Summary'!E42</f>
        <v>1825.9199999999998</v>
      </c>
      <c r="P14" s="72">
        <f>MAX([2]GWCU!H18*0.3+[2]GWCU!I18*0.3+[2]GWCU!J18*0.3,H14)</f>
        <v>89373.476055000036</v>
      </c>
      <c r="Q14" s="72">
        <f>MIN(B14+'NorthPlatte_IRR Season'!H14+'Lewellen_Irrigation Season'!E14+'SPlatte_Irrigation Season'!G14,'[2]Hydro Demand'!$C$23)</f>
        <v>409860</v>
      </c>
      <c r="R14" s="72">
        <f>[2]SWDemand!Q20</f>
        <v>87177.131519999923</v>
      </c>
      <c r="S14" s="72">
        <f>'[2]Net SW Loss'!P19</f>
        <v>150475.24000289003</v>
      </c>
      <c r="T14" s="72">
        <f t="shared" si="2"/>
        <v>172207.62847711003</v>
      </c>
      <c r="U14" s="72">
        <f>'[1]Upper Platte Gage Data'!K14</f>
        <v>47916</v>
      </c>
      <c r="V14" s="72">
        <f>IF('[3]DS Demand'!Q13&gt;0,'[3]DS Demand'!Q13,0)</f>
        <v>172207.62847711003</v>
      </c>
      <c r="W14" s="72">
        <f>'[4]Odessa Instream Flow Calc'!L13</f>
        <v>64211.833076101306</v>
      </c>
      <c r="X14" s="72">
        <f>MIN('[2]Hydro Demand'!$C$16,'[1]Capped Flow'!S13+'NorthPlatte_IRR Season'!H14+'Lewellen_Irrigation Season'!E14+'SPlatte_Irrigation Season'!G14+'[2]GW Depletions'!T21)</f>
        <v>72864</v>
      </c>
      <c r="Y14" s="72">
        <f>[2]SWDemand!U20</f>
        <v>3727.9694400000039</v>
      </c>
      <c r="Z14" s="72">
        <f>'[2]Net SW Loss'!O19</f>
        <v>54.279999990999947</v>
      </c>
      <c r="AA14" s="72">
        <f t="shared" si="10"/>
        <v>69081.750560008993</v>
      </c>
      <c r="AB14" s="73">
        <f>'[2]Net SW Loss'!N19+S14+Z14</f>
        <v>198952.91000205305</v>
      </c>
      <c r="AC14" s="111">
        <f t="shared" si="3"/>
        <v>722.86181174870273</v>
      </c>
      <c r="AD14" s="111">
        <f t="shared" si="4"/>
        <v>0</v>
      </c>
      <c r="AE14" s="111">
        <f t="shared" si="5"/>
        <v>172207.62847711003</v>
      </c>
      <c r="AF14" s="111">
        <f>'NorthPlatte_IRR Season'!X14</f>
        <v>0</v>
      </c>
      <c r="AG14" s="19"/>
      <c r="AH14" s="73">
        <f t="shared" si="6"/>
        <v>569920.39110430481</v>
      </c>
      <c r="AI14" s="73">
        <f t="shared" si="11"/>
        <v>625815.8912859119</v>
      </c>
      <c r="AJ14" s="142"/>
      <c r="AK14" s="87">
        <f t="shared" si="7"/>
        <v>-533373.86267144117</v>
      </c>
      <c r="AL14" s="87">
        <f t="shared" si="8"/>
        <v>-589269.36285304825</v>
      </c>
    </row>
    <row r="15" spans="1:38" x14ac:dyDescent="0.25">
      <c r="A15" s="147">
        <v>1995</v>
      </c>
      <c r="B15" s="78">
        <f>'[1]Capped Flow'!Q14</f>
        <v>796167.89999999909</v>
      </c>
      <c r="C15" s="78">
        <f>'[1]Capped Flow'!T14</f>
        <v>602965.44000000006</v>
      </c>
      <c r="D15" s="78">
        <f>'[1]Upper Platte Gage Data'!H15</f>
        <v>53099.639999999985</v>
      </c>
      <c r="E15" s="78">
        <f t="shared" si="9"/>
        <v>-140102.81999999905</v>
      </c>
      <c r="F15" s="72">
        <f>[2]SWCU!L17</f>
        <v>106716.30908282548</v>
      </c>
      <c r="G15" s="76">
        <f>IF('[2]Reservoir Evap'!K18&gt;0,'[2]Reservoir Evap'!K18,0)</f>
        <v>645.56503880586592</v>
      </c>
      <c r="H15" s="72">
        <f>'[2]GW Depletions'!U22+'[2]GW Depletions'!T22</f>
        <v>33938.475147842059</v>
      </c>
      <c r="J15" s="78">
        <f t="shared" si="0"/>
        <v>1197.5292694743584</v>
      </c>
      <c r="K15" s="154">
        <f>'[3]Req Inflow'!M14</f>
        <v>162938.31072802347</v>
      </c>
      <c r="L15" s="154">
        <f t="shared" si="1"/>
        <v>164135.83999749782</v>
      </c>
      <c r="N15" s="72">
        <f>[2]SWDemand!T21</f>
        <v>77707.797300000137</v>
      </c>
      <c r="O15" s="72">
        <f>'[2]M&amp;I COHYST Summary'!E43</f>
        <v>1928.5800000000002</v>
      </c>
      <c r="P15" s="72">
        <f>MAX([2]GWCU!H19*0.3+[2]GWCU!I19*0.3+[2]GWCU!J19*0.3,H15)</f>
        <v>90272.361740000022</v>
      </c>
      <c r="Q15" s="72">
        <f>MIN(B15+'NorthPlatte_IRR Season'!H15+'Lewellen_Irrigation Season'!E15+'SPlatte_Irrigation Season'!G15,'[2]Hydro Demand'!$C$23)</f>
        <v>409860</v>
      </c>
      <c r="R15" s="72">
        <f>[2]SWDemand!Q21</f>
        <v>91813.479090000546</v>
      </c>
      <c r="S15" s="72">
        <f>'[2]Net SW Loss'!P20</f>
        <v>155555.47000339013</v>
      </c>
      <c r="T15" s="72">
        <f t="shared" si="2"/>
        <v>162491.05090660931</v>
      </c>
      <c r="U15" s="72">
        <f>'[1]Upper Platte Gage Data'!K15</f>
        <v>3736.6559999999999</v>
      </c>
      <c r="V15" s="72">
        <f>IF('[3]DS Demand'!Q14&gt;0,'[3]DS Demand'!Q14,0)</f>
        <v>162491.05090660931</v>
      </c>
      <c r="W15" s="72">
        <f>'[4]Odessa Instream Flow Calc'!L14</f>
        <v>67836.380563272018</v>
      </c>
      <c r="X15" s="72">
        <f>MIN('[2]Hydro Demand'!$C$16,'[1]Capped Flow'!S14+'NorthPlatte_IRR Season'!H15+'Lewellen_Irrigation Season'!E15+'SPlatte_Irrigation Season'!G15+'[2]GW Depletions'!T22)</f>
        <v>72864</v>
      </c>
      <c r="Y15" s="72">
        <f>[2]SWDemand!U21</f>
        <v>3980.0940300000025</v>
      </c>
      <c r="Z15" s="72">
        <f>'[2]Net SW Loss'!O20</f>
        <v>54.279999990999947</v>
      </c>
      <c r="AA15" s="72">
        <f t="shared" si="10"/>
        <v>68829.625970008987</v>
      </c>
      <c r="AB15" s="73">
        <f>'[2]Net SW Loss'!N20+S15+Z15</f>
        <v>204033.14000255315</v>
      </c>
      <c r="AC15" s="111">
        <f t="shared" si="3"/>
        <v>645.56503880586592</v>
      </c>
      <c r="AD15" s="111">
        <f t="shared" si="4"/>
        <v>0</v>
      </c>
      <c r="AE15" s="111">
        <f t="shared" si="5"/>
        <v>162491.05090660931</v>
      </c>
      <c r="AF15" s="111">
        <f>'NorthPlatte_IRR Season'!X15</f>
        <v>213636.43849992991</v>
      </c>
      <c r="AG15" s="19"/>
      <c r="AH15" s="73">
        <f t="shared" si="6"/>
        <v>362901.74301588122</v>
      </c>
      <c r="AI15" s="73">
        <f t="shared" si="11"/>
        <v>419235.6296080391</v>
      </c>
      <c r="AJ15" s="55"/>
      <c r="AK15" s="87">
        <f t="shared" si="7"/>
        <v>-198765.9030183834</v>
      </c>
      <c r="AL15" s="87">
        <f t="shared" si="8"/>
        <v>-255099.78961054128</v>
      </c>
    </row>
    <row r="16" spans="1:38" x14ac:dyDescent="0.25">
      <c r="A16" s="147">
        <v>1996</v>
      </c>
      <c r="B16" s="78">
        <f>'[1]Capped Flow'!Q15</f>
        <v>494362.43999999983</v>
      </c>
      <c r="C16" s="78">
        <f>'[1]Capped Flow'!T15</f>
        <v>281221.38</v>
      </c>
      <c r="D16" s="78">
        <f>'[1]Upper Platte Gage Data'!H16</f>
        <v>34752.960000000006</v>
      </c>
      <c r="E16" s="78">
        <f t="shared" si="9"/>
        <v>-178388.0999999998</v>
      </c>
      <c r="F16" s="72">
        <f>[2]SWCU!L18</f>
        <v>68322.94203159411</v>
      </c>
      <c r="G16" s="76">
        <f>IF('[2]Reservoir Evap'!K19&gt;0,'[2]Reservoir Evap'!K19,0)</f>
        <v>580.92170711146673</v>
      </c>
      <c r="H16" s="72">
        <f>'[2]GW Depletions'!U23+'[2]GW Depletions'!T23</f>
        <v>31912.508978076217</v>
      </c>
      <c r="J16" s="78">
        <f t="shared" si="0"/>
        <v>-77571.727283218002</v>
      </c>
      <c r="K16" s="154">
        <f>'[3]Req Inflow'!M15</f>
        <v>206747.04091449134</v>
      </c>
      <c r="L16" s="154">
        <f t="shared" si="1"/>
        <v>129175.31363127334</v>
      </c>
      <c r="N16" s="72">
        <f>[2]SWDemand!T22</f>
        <v>57334.781309999977</v>
      </c>
      <c r="O16" s="72">
        <f>'[2]M&amp;I COHYST Summary'!E44</f>
        <v>2017.29</v>
      </c>
      <c r="P16" s="72">
        <f>MAX([2]GWCU!H20*0.3+[2]GWCU!I20*0.3+[2]GWCU!J20*0.3,H16)</f>
        <v>63069.984012499888</v>
      </c>
      <c r="Q16" s="72">
        <f>MIN(B16+'NorthPlatte_IRR Season'!H16+'Lewellen_Irrigation Season'!E16+'SPlatte_Irrigation Season'!G16,'[2]Hydro Demand'!$C$23)</f>
        <v>409860</v>
      </c>
      <c r="R16" s="72">
        <f>[2]SWDemand!Q22</f>
        <v>50924.660790000096</v>
      </c>
      <c r="S16" s="72">
        <f>'[2]Net SW Loss'!P21</f>
        <v>152769.22000261999</v>
      </c>
      <c r="T16" s="72">
        <f t="shared" si="2"/>
        <v>206166.1192073799</v>
      </c>
      <c r="U16" s="72">
        <f>'[1]Upper Platte Gage Data'!K16</f>
        <v>18410.039999999997</v>
      </c>
      <c r="V16" s="72">
        <f>IF('[3]DS Demand'!Q15&gt;0,'[3]DS Demand'!Q15,0)</f>
        <v>206166.1192073799</v>
      </c>
      <c r="W16" s="72">
        <f>'[4]Odessa Instream Flow Calc'!L15</f>
        <v>115681.14955416379</v>
      </c>
      <c r="X16" s="72">
        <f>MIN('[2]Hydro Demand'!$C$16,'[1]Capped Flow'!S15+'NorthPlatte_IRR Season'!H16+'Lewellen_Irrigation Season'!E16+'SPlatte_Irrigation Season'!G16+'[2]GW Depletions'!T23)</f>
        <v>72864</v>
      </c>
      <c r="Y16" s="72">
        <f>[2]SWDemand!U22</f>
        <v>2325.1292999999978</v>
      </c>
      <c r="Z16" s="72">
        <f>'[2]Net SW Loss'!O21</f>
        <v>54.279999990999947</v>
      </c>
      <c r="AA16" s="72">
        <f t="shared" si="10"/>
        <v>70484.590700008994</v>
      </c>
      <c r="AB16" s="73">
        <f>'[2]Net SW Loss'!N21+S16+Z16</f>
        <v>201311.59000136302</v>
      </c>
      <c r="AC16" s="111">
        <f t="shared" si="3"/>
        <v>580.92170711146673</v>
      </c>
      <c r="AD16" s="111">
        <f t="shared" si="4"/>
        <v>0</v>
      </c>
      <c r="AE16" s="111">
        <f t="shared" si="5"/>
        <v>206166.1192073799</v>
      </c>
      <c r="AF16" s="111">
        <f>'NorthPlatte_IRR Season'!X16</f>
        <v>0</v>
      </c>
      <c r="AG16" s="19"/>
      <c r="AH16" s="73">
        <f t="shared" si="6"/>
        <v>552573.00129393069</v>
      </c>
      <c r="AI16" s="73">
        <f t="shared" si="11"/>
        <v>583730.47632835433</v>
      </c>
      <c r="AJ16" s="55"/>
      <c r="AK16" s="87">
        <f t="shared" si="7"/>
        <v>-423397.68766265735</v>
      </c>
      <c r="AL16" s="87">
        <f t="shared" si="8"/>
        <v>-454555.16269708099</v>
      </c>
    </row>
    <row r="17" spans="1:38" x14ac:dyDescent="0.25">
      <c r="A17" s="147">
        <v>1997</v>
      </c>
      <c r="B17" s="78">
        <f>'[1]Capped Flow'!Q16</f>
        <v>737540.09999999928</v>
      </c>
      <c r="C17" s="78">
        <f>'[1]Capped Flow'!T16</f>
        <v>407895.84</v>
      </c>
      <c r="D17" s="78">
        <f>'[1]Upper Platte Gage Data'!H17</f>
        <v>51945.3</v>
      </c>
      <c r="E17" s="78">
        <f t="shared" si="9"/>
        <v>-277698.95999999926</v>
      </c>
      <c r="F17" s="72">
        <f>[2]SWCU!L19</f>
        <v>111787.20746704718</v>
      </c>
      <c r="G17" s="76">
        <f>IF('[2]Reservoir Evap'!K20&gt;0,'[2]Reservoir Evap'!K20,0)</f>
        <v>440.01280000616168</v>
      </c>
      <c r="H17" s="72">
        <f>'[2]GW Depletions'!U24+'[2]GW Depletions'!T24</f>
        <v>34012.296335284664</v>
      </c>
      <c r="J17" s="78">
        <f t="shared" si="0"/>
        <v>-131459.44339766126</v>
      </c>
      <c r="K17" s="154">
        <f>'[3]Req Inflow'!M16</f>
        <v>156521.54768228595</v>
      </c>
      <c r="L17" s="154">
        <f t="shared" si="1"/>
        <v>25062.104284624686</v>
      </c>
      <c r="N17" s="72">
        <f>[2]SWDemand!T23</f>
        <v>80601.870000000039</v>
      </c>
      <c r="O17" s="72">
        <f>'[2]M&amp;I COHYST Summary'!E45</f>
        <v>2080.44</v>
      </c>
      <c r="P17" s="72">
        <f>MAX([2]GWCU!H21*0.3+[2]GWCU!I21*0.3+[2]GWCU!J21*0.3,H17)</f>
        <v>96741.629562499933</v>
      </c>
      <c r="Q17" s="72">
        <f>MIN(B17+'NorthPlatte_IRR Season'!H17+'Lewellen_Irrigation Season'!E17+'SPlatte_Irrigation Season'!G17,'[2]Hydro Demand'!$C$23)</f>
        <v>409860</v>
      </c>
      <c r="R17" s="72">
        <f>[2]SWDemand!Q23</f>
        <v>97784.595120000275</v>
      </c>
      <c r="S17" s="72">
        <f>'[2]Net SW Loss'!P22</f>
        <v>155993.86999771991</v>
      </c>
      <c r="T17" s="72">
        <f t="shared" si="2"/>
        <v>156081.53488227978</v>
      </c>
      <c r="U17" s="72">
        <f>'[1]Upper Platte Gage Data'!K17</f>
        <v>1552.3200000000002</v>
      </c>
      <c r="V17" s="72">
        <f>IF('[3]DS Demand'!Q16&gt;0,'[3]DS Demand'!Q16,0)</f>
        <v>156081.53488227978</v>
      </c>
      <c r="W17" s="72">
        <f>'[4]Odessa Instream Flow Calc'!L16</f>
        <v>77043.392367280539</v>
      </c>
      <c r="X17" s="72">
        <f>MIN('[2]Hydro Demand'!$C$16,'[1]Capped Flow'!S16+'NorthPlatte_IRR Season'!H17+'Lewellen_Irrigation Season'!E17+'SPlatte_Irrigation Season'!G17+'[2]GW Depletions'!T24)</f>
        <v>72864</v>
      </c>
      <c r="Y17" s="72">
        <f>[2]SWDemand!U23</f>
        <v>4295.23344</v>
      </c>
      <c r="Z17" s="72">
        <f>'[2]Net SW Loss'!O22</f>
        <v>54.279999991000011</v>
      </c>
      <c r="AA17" s="72">
        <f t="shared" si="10"/>
        <v>68514.486560008998</v>
      </c>
      <c r="AB17" s="73">
        <f>'[2]Net SW Loss'!N22+S17+Z17</f>
        <v>204376.79999677293</v>
      </c>
      <c r="AC17" s="111">
        <f t="shared" si="3"/>
        <v>440.01280000616168</v>
      </c>
      <c r="AD17" s="111">
        <f t="shared" si="4"/>
        <v>0</v>
      </c>
      <c r="AE17" s="111">
        <f t="shared" si="5"/>
        <v>156081.53488227978</v>
      </c>
      <c r="AF17" s="111">
        <f>'NorthPlatte_IRR Season'!X17</f>
        <v>162963.81768934996</v>
      </c>
      <c r="AG17" s="19"/>
      <c r="AH17" s="73">
        <f t="shared" si="6"/>
        <v>416708.96488499385</v>
      </c>
      <c r="AI17" s="73">
        <f t="shared" si="11"/>
        <v>479438.29811220907</v>
      </c>
      <c r="AJ17" s="55"/>
      <c r="AK17" s="87">
        <f t="shared" si="7"/>
        <v>-391646.86060036917</v>
      </c>
      <c r="AL17" s="87">
        <f t="shared" si="8"/>
        <v>-454376.19382758439</v>
      </c>
    </row>
    <row r="18" spans="1:38" x14ac:dyDescent="0.25">
      <c r="A18" s="147">
        <v>1998</v>
      </c>
      <c r="B18" s="78">
        <f>'[1]Capped Flow'!Q17</f>
        <v>603426.7799999998</v>
      </c>
      <c r="C18" s="78">
        <f>'[1]Capped Flow'!T17</f>
        <v>230796.72000000003</v>
      </c>
      <c r="D18" s="78">
        <f>'[1]Upper Platte Gage Data'!H18</f>
        <v>52711.56</v>
      </c>
      <c r="E18" s="78">
        <f t="shared" si="9"/>
        <v>-319918.49999999977</v>
      </c>
      <c r="F18" s="72">
        <f>[2]SWCU!L20</f>
        <v>104901.91984315999</v>
      </c>
      <c r="G18" s="76">
        <f>IF('[2]Reservoir Evap'!K21&gt;0,'[2]Reservoir Evap'!K21,0)</f>
        <v>590.65737944843249</v>
      </c>
      <c r="H18" s="72">
        <f>'[2]GW Depletions'!U25+'[2]GW Depletions'!T25</f>
        <v>34562.309915404039</v>
      </c>
      <c r="J18" s="78">
        <f t="shared" si="0"/>
        <v>-179863.61286198729</v>
      </c>
      <c r="K18" s="154">
        <f>'[3]Req Inflow'!M17</f>
        <v>175051.87091645942</v>
      </c>
      <c r="L18" s="154">
        <f t="shared" si="1"/>
        <v>-4811.7419455278723</v>
      </c>
      <c r="N18" s="72">
        <f>[2]SWDemand!T24</f>
        <v>86246.958509999953</v>
      </c>
      <c r="O18" s="72">
        <f>'[2]M&amp;I COHYST Summary'!E46</f>
        <v>2143.0200000000004</v>
      </c>
      <c r="P18" s="72">
        <f>MAX([2]GWCU!H22*0.3+[2]GWCU!I22*0.3+[2]GWCU!J22*0.3,H18)</f>
        <v>94664.29795749989</v>
      </c>
      <c r="Q18" s="72">
        <f>MIN(B18+'NorthPlatte_IRR Season'!H18+'Lewellen_Irrigation Season'!E18+'SPlatte_Irrigation Season'!G18,'[2]Hydro Demand'!$C$23)</f>
        <v>409860</v>
      </c>
      <c r="R18" s="72">
        <f>[2]SWDemand!Q24</f>
        <v>80561.396459998999</v>
      </c>
      <c r="S18" s="72">
        <f>'[2]Net SW Loss'!P23</f>
        <v>154837.39000299</v>
      </c>
      <c r="T18" s="72">
        <f t="shared" si="2"/>
        <v>174461.21353701098</v>
      </c>
      <c r="U18" s="72">
        <f>'[1]Upper Platte Gage Data'!K18</f>
        <v>2865.06</v>
      </c>
      <c r="V18" s="72">
        <f>IF('[3]DS Demand'!Q17&gt;0,'[3]DS Demand'!Q17,0)</f>
        <v>174461.21353701098</v>
      </c>
      <c r="W18" s="72">
        <f>'[4]Odessa Instream Flow Calc'!L17</f>
        <v>79256.454439173365</v>
      </c>
      <c r="X18" s="72">
        <f>MIN('[2]Hydro Demand'!$C$16,'[1]Capped Flow'!S17+'NorthPlatte_IRR Season'!H18+'Lewellen_Irrigation Season'!E18+'SPlatte_Irrigation Season'!G18+'[2]GW Depletions'!T25)</f>
        <v>72864</v>
      </c>
      <c r="Y18" s="72">
        <f>[2]SWDemand!U24</f>
        <v>3274.8113400000034</v>
      </c>
      <c r="Z18" s="72">
        <f>'[2]Net SW Loss'!O23</f>
        <v>54.279999991000011</v>
      </c>
      <c r="AA18" s="72">
        <f t="shared" si="10"/>
        <v>69534.908660008994</v>
      </c>
      <c r="AB18" s="73">
        <f>'[2]Net SW Loss'!N23+S18+Z18</f>
        <v>203315.06000215298</v>
      </c>
      <c r="AC18" s="111">
        <f t="shared" si="3"/>
        <v>590.65737944843249</v>
      </c>
      <c r="AD18" s="111">
        <f t="shared" si="4"/>
        <v>0</v>
      </c>
      <c r="AE18" s="111">
        <f t="shared" si="5"/>
        <v>174461.21353701098</v>
      </c>
      <c r="AF18" s="111">
        <f>'NorthPlatte_IRR Season'!X18</f>
        <v>0</v>
      </c>
      <c r="AG18" s="19"/>
      <c r="AH18" s="73">
        <f t="shared" si="6"/>
        <v>585155.42714401532</v>
      </c>
      <c r="AI18" s="73">
        <f t="shared" si="11"/>
        <v>645257.41518611123</v>
      </c>
      <c r="AJ18" s="55"/>
      <c r="AK18" s="87">
        <f t="shared" si="7"/>
        <v>-589967.16908954317</v>
      </c>
      <c r="AL18" s="87">
        <f t="shared" si="8"/>
        <v>-650069.15713163908</v>
      </c>
    </row>
    <row r="19" spans="1:38" x14ac:dyDescent="0.25">
      <c r="A19" s="147">
        <v>1999</v>
      </c>
      <c r="B19" s="78">
        <f>'[1]Capped Flow'!Q18</f>
        <v>754667.09999999951</v>
      </c>
      <c r="C19" s="78">
        <f>'[1]Capped Flow'!T18</f>
        <v>545822.6399999999</v>
      </c>
      <c r="D19" s="78">
        <f>'[1]Upper Platte Gage Data'!H19</f>
        <v>30014.819999999992</v>
      </c>
      <c r="E19" s="78">
        <f t="shared" si="9"/>
        <v>-178829.63999999961</v>
      </c>
      <c r="F19" s="72">
        <f>[2]SWCU!L21</f>
        <v>90062.985889558433</v>
      </c>
      <c r="G19" s="76">
        <f>IF('[2]Reservoir Evap'!K22&gt;0,'[2]Reservoir Evap'!K22,0)</f>
        <v>681.75805447600271</v>
      </c>
      <c r="H19" s="72">
        <f>'[2]GW Depletions'!U26+'[2]GW Depletions'!T26</f>
        <v>35195.629636019279</v>
      </c>
      <c r="J19" s="78">
        <f t="shared" si="0"/>
        <v>-52889.266419945896</v>
      </c>
      <c r="K19" s="154">
        <f>'[3]Req Inflow'!M18</f>
        <v>181963.23794138688</v>
      </c>
      <c r="L19" s="154">
        <f t="shared" si="1"/>
        <v>129073.97152144098</v>
      </c>
      <c r="N19" s="72">
        <f>[2]SWDemand!T25</f>
        <v>69895.405770000027</v>
      </c>
      <c r="O19" s="72">
        <f>'[2]M&amp;I COHYST Summary'!E47</f>
        <v>2172.27</v>
      </c>
      <c r="P19" s="72">
        <f>MAX([2]GWCU!H23*0.3+[2]GWCU!I23*0.3+[2]GWCU!J23*0.3,H19)</f>
        <v>86704.011485000054</v>
      </c>
      <c r="Q19" s="72">
        <f>MIN(B19+'NorthPlatte_IRR Season'!H19+'Lewellen_Irrigation Season'!E19+'SPlatte_Irrigation Season'!G19,'[2]Hydro Demand'!$C$23)</f>
        <v>409860</v>
      </c>
      <c r="R19" s="72">
        <f>[2]SWDemand!Q25</f>
        <v>74150.800109999225</v>
      </c>
      <c r="S19" s="72">
        <f>'[2]Net SW Loss'!P24</f>
        <v>154427.72000308984</v>
      </c>
      <c r="T19" s="72">
        <f t="shared" si="2"/>
        <v>181281.47988691091</v>
      </c>
      <c r="U19" s="72">
        <f>'[1]Upper Platte Gage Data'!K19</f>
        <v>1657.26</v>
      </c>
      <c r="V19" s="72">
        <f>IF('[3]DS Demand'!Q18&gt;0,'[3]DS Demand'!Q18,0)</f>
        <v>181281.47988691091</v>
      </c>
      <c r="W19" s="72">
        <f>'[4]Odessa Instream Flow Calc'!L18</f>
        <v>105144.30565475098</v>
      </c>
      <c r="X19" s="72">
        <f>MIN('[2]Hydro Demand'!$C$16,'[1]Capped Flow'!S18+'NorthPlatte_IRR Season'!H19+'Lewellen_Irrigation Season'!E19+'SPlatte_Irrigation Season'!G19+'[2]GW Depletions'!T26)</f>
        <v>72864</v>
      </c>
      <c r="Y19" s="72">
        <f>[2]SWDemand!U25</f>
        <v>3165.7063200000021</v>
      </c>
      <c r="Z19" s="72">
        <f>'[2]Net SW Loss'!O24</f>
        <v>53.690000000000047</v>
      </c>
      <c r="AA19" s="72">
        <f t="shared" si="10"/>
        <v>69644.60368</v>
      </c>
      <c r="AB19" s="73">
        <f>'[2]Net SW Loss'!N24+S19+Z19</f>
        <v>202777.10000251184</v>
      </c>
      <c r="AC19" s="111">
        <f t="shared" si="3"/>
        <v>681.75805447600271</v>
      </c>
      <c r="AD19" s="111">
        <f t="shared" si="4"/>
        <v>0</v>
      </c>
      <c r="AE19" s="111">
        <f t="shared" si="5"/>
        <v>181281.47988691091</v>
      </c>
      <c r="AF19" s="111">
        <f>'NorthPlatte_IRR Season'!X19</f>
        <v>184564.56414934993</v>
      </c>
      <c r="AG19" s="19"/>
      <c r="AH19" s="73">
        <f t="shared" si="6"/>
        <v>384755.5856305674</v>
      </c>
      <c r="AI19" s="73">
        <f t="shared" si="11"/>
        <v>436263.96747954818</v>
      </c>
      <c r="AJ19" s="55"/>
      <c r="AK19" s="87">
        <f t="shared" si="7"/>
        <v>-255681.61410912641</v>
      </c>
      <c r="AL19" s="87">
        <f t="shared" si="8"/>
        <v>-307189.99595810717</v>
      </c>
    </row>
    <row r="20" spans="1:38" x14ac:dyDescent="0.25">
      <c r="A20" s="147">
        <v>2000</v>
      </c>
      <c r="B20" s="78">
        <f>'[1]Capped Flow'!Q19</f>
        <v>564725.69999999995</v>
      </c>
      <c r="C20" s="78">
        <f>'[1]Capped Flow'!T19</f>
        <v>167755.49999999997</v>
      </c>
      <c r="D20" s="78">
        <f>'[1]Upper Platte Gage Data'!H20</f>
        <v>30410.819999999989</v>
      </c>
      <c r="E20" s="78">
        <f t="shared" si="9"/>
        <v>-366559.37999999995</v>
      </c>
      <c r="F20" s="72">
        <f>[2]SWCU!L22</f>
        <v>108357.18691215848</v>
      </c>
      <c r="G20" s="76">
        <f>IF('[2]Reservoir Evap'!K23&gt;0,'[2]Reservoir Evap'!K23,0)</f>
        <v>964.84916936612763</v>
      </c>
      <c r="H20" s="72">
        <f>'[2]GW Depletions'!U27+'[2]GW Depletions'!T27</f>
        <v>37394.876322543612</v>
      </c>
      <c r="J20" s="78">
        <f t="shared" si="0"/>
        <v>-219842.46759593172</v>
      </c>
      <c r="K20" s="154">
        <f>'[3]Req Inflow'!M19</f>
        <v>168387.83334214578</v>
      </c>
      <c r="L20" s="154">
        <f t="shared" si="1"/>
        <v>-51454.634253785945</v>
      </c>
      <c r="N20" s="72">
        <f>[2]SWDemand!T26</f>
        <v>92263.12910999998</v>
      </c>
      <c r="O20" s="72">
        <f>'[2]M&amp;I COHYST Summary'!E48</f>
        <v>2242.8199999999997</v>
      </c>
      <c r="P20" s="72">
        <f>MAX([2]GWCU!H24*0.3+[2]GWCU!I24*0.3+[2]GWCU!J24*0.3,H20)</f>
        <v>106214.88885250002</v>
      </c>
      <c r="Q20" s="72">
        <f>MIN(B20+'NorthPlatte_IRR Season'!H20+'Lewellen_Irrigation Season'!E20+'SPlatte_Irrigation Season'!G20,'[2]Hydro Demand'!$C$23)</f>
        <v>409860</v>
      </c>
      <c r="R20" s="72">
        <f>[2]SWDemand!Q26</f>
        <v>88986.255840000507</v>
      </c>
      <c r="S20" s="72">
        <f>'[2]Net SW Loss'!P25</f>
        <v>153450.75998721988</v>
      </c>
      <c r="T20" s="72">
        <f t="shared" si="2"/>
        <v>167422.9841727796</v>
      </c>
      <c r="U20" s="72">
        <f>'[1]Upper Platte Gage Data'!K20</f>
        <v>15814.260000000004</v>
      </c>
      <c r="V20" s="72">
        <f>IF('[3]DS Demand'!Q19&gt;0,'[3]DS Demand'!Q19,0)</f>
        <v>167422.9841727796</v>
      </c>
      <c r="W20" s="72">
        <f>'[4]Odessa Instream Flow Calc'!L19</f>
        <v>32113.417496164417</v>
      </c>
      <c r="X20" s="72">
        <f>MIN('[2]Hydro Demand'!$C$16,'[1]Capped Flow'!S19+'NorthPlatte_IRR Season'!H20+'Lewellen_Irrigation Season'!E20+'SPlatte_Irrigation Season'!G20+'[2]GW Depletions'!T27)</f>
        <v>72864</v>
      </c>
      <c r="Y20" s="72">
        <f>[2]SWDemand!U26</f>
        <v>4230.9497399999946</v>
      </c>
      <c r="Z20" s="72">
        <f>'[2]Net SW Loss'!O25</f>
        <v>54.279999991000011</v>
      </c>
      <c r="AA20" s="72">
        <f t="shared" si="10"/>
        <v>68578.770260008998</v>
      </c>
      <c r="AB20" s="73">
        <f>'[2]Net SW Loss'!N25+S20+Z20</f>
        <v>201850.31998619286</v>
      </c>
      <c r="AC20" s="111">
        <f t="shared" si="3"/>
        <v>964.84916936612763</v>
      </c>
      <c r="AD20" s="111">
        <f t="shared" si="4"/>
        <v>0</v>
      </c>
      <c r="AE20" s="111">
        <f t="shared" si="5"/>
        <v>167422.9841727796</v>
      </c>
      <c r="AF20" s="111">
        <f>'NorthPlatte_IRR Season'!X20</f>
        <v>0</v>
      </c>
      <c r="AG20" s="19"/>
      <c r="AH20" s="73">
        <f t="shared" si="6"/>
        <v>595356.1843408827</v>
      </c>
      <c r="AI20" s="73">
        <f t="shared" si="11"/>
        <v>664176.19687083911</v>
      </c>
      <c r="AJ20" s="55"/>
      <c r="AK20" s="87">
        <f t="shared" si="7"/>
        <v>-646810.81859466864</v>
      </c>
      <c r="AL20" s="87">
        <f t="shared" si="8"/>
        <v>-715630.83112462505</v>
      </c>
    </row>
    <row r="21" spans="1:38" x14ac:dyDescent="0.25">
      <c r="A21" s="147">
        <v>2001</v>
      </c>
      <c r="B21" s="78">
        <f>'[1]Capped Flow'!Q20</f>
        <v>514475.28000000014</v>
      </c>
      <c r="C21" s="78">
        <f>'[1]Capped Flow'!T20</f>
        <v>119431.62</v>
      </c>
      <c r="D21" s="78">
        <f>'[1]Upper Platte Gage Data'!H21</f>
        <v>47589.300000000025</v>
      </c>
      <c r="E21" s="78">
        <f t="shared" si="9"/>
        <v>-347454.3600000001</v>
      </c>
      <c r="F21" s="72">
        <f>[2]SWCU!L23</f>
        <v>89063.768546925872</v>
      </c>
      <c r="G21" s="76">
        <f>IF('[2]Reservoir Evap'!K24&gt;0,'[2]Reservoir Evap'!K24,0)</f>
        <v>873.9012652126388</v>
      </c>
      <c r="H21" s="72">
        <f>'[2]GW Depletions'!U28+'[2]GW Depletions'!T28</f>
        <v>36947.901524219473</v>
      </c>
      <c r="J21" s="78">
        <f t="shared" si="0"/>
        <v>-220568.78866364213</v>
      </c>
      <c r="K21" s="154">
        <f>'[3]Req Inflow'!M20</f>
        <v>190813.894747774</v>
      </c>
      <c r="L21" s="154">
        <f t="shared" si="1"/>
        <v>-29754.893915868131</v>
      </c>
      <c r="N21" s="72">
        <f>[2]SWDemand!T27</f>
        <v>73477.705920000008</v>
      </c>
      <c r="O21" s="72">
        <f>'[2]M&amp;I COHYST Summary'!E49</f>
        <v>2241.71</v>
      </c>
      <c r="P21" s="72">
        <f>MAX([2]GWCU!H25*0.3+[2]GWCU!I25*0.3+[2]GWCU!J25*0.3,H21)</f>
        <v>83946.854290000047</v>
      </c>
      <c r="Q21" s="72">
        <f>MIN(B21+'NorthPlatte_IRR Season'!H21+'Lewellen_Irrigation Season'!E21+'SPlatte_Irrigation Season'!G21,'[2]Hydro Demand'!$C$23)</f>
        <v>409860</v>
      </c>
      <c r="R21" s="72">
        <f>[2]SWDemand!Q27</f>
        <v>72972.206519998683</v>
      </c>
      <c r="S21" s="72">
        <f>'[2]Net SW Loss'!P26</f>
        <v>146947.79999744002</v>
      </c>
      <c r="T21" s="72">
        <f t="shared" si="2"/>
        <v>189939.99348256132</v>
      </c>
      <c r="U21" s="72">
        <f>'[1]Upper Platte Gage Data'!K21</f>
        <v>34073.82</v>
      </c>
      <c r="V21" s="72">
        <f>IF('[3]DS Demand'!Q20&gt;0,'[3]DS Demand'!Q20,0)</f>
        <v>189939.99348256132</v>
      </c>
      <c r="W21" s="72">
        <f>'[4]Odessa Instream Flow Calc'!L20</f>
        <v>64921.376865831087</v>
      </c>
      <c r="X21" s="72">
        <f>MIN('[2]Hydro Demand'!$C$16,'[1]Capped Flow'!S20+'NorthPlatte_IRR Season'!H21+'Lewellen_Irrigation Season'!E21+'SPlatte_Irrigation Season'!G21+'[2]GW Depletions'!T28)</f>
        <v>72864</v>
      </c>
      <c r="Y21" s="72">
        <f>[2]SWDemand!U27</f>
        <v>3570.2457900000004</v>
      </c>
      <c r="Z21" s="72">
        <f>'[2]Net SW Loss'!O26</f>
        <v>54.279999991000011</v>
      </c>
      <c r="AA21" s="72">
        <f t="shared" si="10"/>
        <v>69239.474210008993</v>
      </c>
      <c r="AB21" s="73">
        <f>'[2]Net SW Loss'!N26+S21+Z21</f>
        <v>195490.16999618302</v>
      </c>
      <c r="AC21" s="111">
        <f t="shared" si="3"/>
        <v>873.9012652126388</v>
      </c>
      <c r="AD21" s="111">
        <f t="shared" si="4"/>
        <v>0</v>
      </c>
      <c r="AE21" s="111">
        <f t="shared" si="5"/>
        <v>189939.99348256132</v>
      </c>
      <c r="AF21" s="111">
        <f>'NorthPlatte_IRR Season'!X21</f>
        <v>0</v>
      </c>
      <c r="AG21" s="19"/>
      <c r="AH21" s="73">
        <f t="shared" si="6"/>
        <v>575513.83449817507</v>
      </c>
      <c r="AI21" s="73">
        <f t="shared" si="11"/>
        <v>622512.78726395569</v>
      </c>
      <c r="AJ21" s="55"/>
      <c r="AK21" s="87">
        <f t="shared" si="7"/>
        <v>-605268.7284140432</v>
      </c>
      <c r="AL21" s="87">
        <f t="shared" si="8"/>
        <v>-652267.68117982382</v>
      </c>
    </row>
    <row r="22" spans="1:38" x14ac:dyDescent="0.25">
      <c r="A22" s="147">
        <v>2002</v>
      </c>
      <c r="B22" s="78">
        <f>'[1]Capped Flow'!Q21</f>
        <v>466141.50000000006</v>
      </c>
      <c r="C22" s="78">
        <f>'[1]Capped Flow'!T21</f>
        <v>37859.777999999991</v>
      </c>
      <c r="D22" s="78">
        <f>'[1]Upper Platte Gage Data'!H22</f>
        <v>25961.759999999998</v>
      </c>
      <c r="E22" s="78">
        <f t="shared" si="9"/>
        <v>-402319.96200000006</v>
      </c>
      <c r="F22" s="72">
        <f>[2]SWCU!L24</f>
        <v>125880.09875992664</v>
      </c>
      <c r="G22" s="76">
        <f>IF('[2]Reservoir Evap'!K25&gt;0,'[2]Reservoir Evap'!K25,0)</f>
        <v>1033.2072780781605</v>
      </c>
      <c r="H22" s="72">
        <f>'[2]GW Depletions'!U29+'[2]GW Depletions'!T29</f>
        <v>43570.413378443525</v>
      </c>
      <c r="J22" s="78">
        <f t="shared" si="0"/>
        <v>-231836.24258355174</v>
      </c>
      <c r="K22" s="154">
        <f>'[3]Req Inflow'!M21</f>
        <v>125217.55146509816</v>
      </c>
      <c r="L22" s="154">
        <f t="shared" si="1"/>
        <v>-106618.69111845357</v>
      </c>
      <c r="N22" s="72">
        <f>[2]SWDemand!T28</f>
        <v>85560.77433</v>
      </c>
      <c r="O22" s="72">
        <f>'[2]M&amp;I COHYST Summary'!E50</f>
        <v>2240.5</v>
      </c>
      <c r="P22" s="72">
        <f>MAX([2]GWCU!H26*0.3+[2]GWCU!I26*0.3+[2]GWCU!J26*0.3,H22)</f>
        <v>163749.09863250022</v>
      </c>
      <c r="Q22" s="72">
        <f>MIN(B22+'NorthPlatte_IRR Season'!H22+'Lewellen_Irrigation Season'!E22+'SPlatte_Irrigation Season'!G22,'[2]Hydro Demand'!$C$23)</f>
        <v>409860</v>
      </c>
      <c r="R22" s="72">
        <f>[2]SWDemand!Q28</f>
        <v>140331.19581000003</v>
      </c>
      <c r="S22" s="72">
        <f>'[2]Net SW Loss'!P27</f>
        <v>145344.46000297999</v>
      </c>
      <c r="T22" s="72">
        <f t="shared" si="2"/>
        <v>124184.34418701995</v>
      </c>
      <c r="U22" s="72">
        <f>'[1]Upper Platte Gage Data'!K22</f>
        <v>48238.739999999983</v>
      </c>
      <c r="V22" s="72">
        <f>IF('[3]DS Demand'!Q21&gt;0,'[3]DS Demand'!Q21,0)</f>
        <v>124184.34418701995</v>
      </c>
      <c r="W22" s="72">
        <f>'[4]Odessa Instream Flow Calc'!L21</f>
        <v>16714.313703946129</v>
      </c>
      <c r="X22" s="72">
        <f>MIN('[2]Hydro Demand'!$C$16,'[1]Capped Flow'!S21+'NorthPlatte_IRR Season'!H22+'Lewellen_Irrigation Season'!E22+'SPlatte_Irrigation Season'!G22+'[2]GW Depletions'!T29)</f>
        <v>72864</v>
      </c>
      <c r="Y22" s="72">
        <f>[2]SWDemand!U28</f>
        <v>7305.0447900000008</v>
      </c>
      <c r="Z22" s="72">
        <f>'[2]Net SW Loss'!O27</f>
        <v>53.510000000000048</v>
      </c>
      <c r="AA22" s="72">
        <f t="shared" si="10"/>
        <v>65505.445209999998</v>
      </c>
      <c r="AB22" s="73">
        <f>'[2]Net SW Loss'!N27+S22+Z22</f>
        <v>193122.420002392</v>
      </c>
      <c r="AC22" s="111">
        <f t="shared" si="3"/>
        <v>1033.2072780781605</v>
      </c>
      <c r="AD22" s="111">
        <f t="shared" si="4"/>
        <v>0</v>
      </c>
      <c r="AE22" s="111">
        <f t="shared" si="5"/>
        <v>124184.34418701995</v>
      </c>
      <c r="AF22" s="111">
        <f>'NorthPlatte_IRR Season'!X22</f>
        <v>0</v>
      </c>
      <c r="AG22" s="19"/>
      <c r="AH22" s="73">
        <f t="shared" si="6"/>
        <v>597347.89977593371</v>
      </c>
      <c r="AI22" s="73">
        <f t="shared" si="11"/>
        <v>717526.58502999041</v>
      </c>
      <c r="AJ22" s="55"/>
      <c r="AK22" s="87">
        <f t="shared" si="7"/>
        <v>-703966.59089438734</v>
      </c>
      <c r="AL22" s="87">
        <f t="shared" si="8"/>
        <v>-824145.27614844404</v>
      </c>
    </row>
    <row r="23" spans="1:38" x14ac:dyDescent="0.25">
      <c r="A23" s="147">
        <v>2003</v>
      </c>
      <c r="B23" s="78">
        <f>'[1]Capped Flow'!Q22</f>
        <v>333681.48</v>
      </c>
      <c r="C23" s="78">
        <f>'[1]Capped Flow'!T22</f>
        <v>7644.7800000000025</v>
      </c>
      <c r="D23" s="78">
        <f>'[1]Upper Platte Gage Data'!H23</f>
        <v>39091.139999999985</v>
      </c>
      <c r="E23" s="78">
        <f t="shared" si="9"/>
        <v>-286945.55999999994</v>
      </c>
      <c r="F23" s="72">
        <f>[2]SWCU!L25</f>
        <v>84977.939026416978</v>
      </c>
      <c r="G23" s="76">
        <f>IF('[2]Reservoir Evap'!K26&gt;0,'[2]Reservoir Evap'!K26,0)</f>
        <v>807.18800921515879</v>
      </c>
      <c r="H23" s="72">
        <f>'[2]GW Depletions'!U30+'[2]GW Depletions'!T30</f>
        <v>45934.911011707991</v>
      </c>
      <c r="J23" s="78">
        <f t="shared" si="0"/>
        <v>-155225.52195265979</v>
      </c>
      <c r="K23" s="154">
        <f>'[3]Req Inflow'!M22</f>
        <v>180888.96399715514</v>
      </c>
      <c r="L23" s="154">
        <f t="shared" si="1"/>
        <v>25663.442044495343</v>
      </c>
      <c r="N23" s="72">
        <f>[2]SWDemand!T29</f>
        <v>66440.665379999962</v>
      </c>
      <c r="O23" s="72">
        <f>'[2]M&amp;I COHYST Summary'!E51</f>
        <v>2239.29</v>
      </c>
      <c r="P23" s="72">
        <f>MAX([2]GWCU!H27*0.3+[2]GWCU!I27*0.3+[2]GWCU!J27*0.3,H23)</f>
        <v>122198.03051249999</v>
      </c>
      <c r="Q23" s="72">
        <f>MIN(B23+'NorthPlatte_IRR Season'!H23+'Lewellen_Irrigation Season'!E23+'SPlatte_Irrigation Season'!G23,'[2]Hydro Demand'!$C$23)</f>
        <v>409860</v>
      </c>
      <c r="R23" s="72">
        <f>[2]SWDemand!Q29</f>
        <v>94871.144010000033</v>
      </c>
      <c r="S23" s="72">
        <f>'[2]Net SW Loss'!P28</f>
        <v>134907.08000206001</v>
      </c>
      <c r="T23" s="72">
        <f t="shared" si="2"/>
        <v>180081.77598793994</v>
      </c>
      <c r="U23" s="72">
        <f>'[1]Upper Platte Gage Data'!K23</f>
        <v>93095.639999999985</v>
      </c>
      <c r="V23" s="72">
        <f>IF('[3]DS Demand'!Q22&gt;0,'[3]DS Demand'!Q22,0)</f>
        <v>180081.77598793994</v>
      </c>
      <c r="W23" s="72">
        <f>'[4]Odessa Instream Flow Calc'!L22</f>
        <v>13881.366200866716</v>
      </c>
      <c r="X23" s="72">
        <f>MIN('[2]Hydro Demand'!$C$16,'[1]Capped Flow'!S22+'NorthPlatte_IRR Season'!H23+'Lewellen_Irrigation Season'!E23+'SPlatte_Irrigation Season'!G23+'[2]GW Depletions'!T30)</f>
        <v>72864</v>
      </c>
      <c r="Y23" s="72">
        <f>[2]SWDemand!U29</f>
        <v>4925.2976700000072</v>
      </c>
      <c r="Z23" s="72">
        <f>'[2]Net SW Loss'!O28</f>
        <v>54.279999991000011</v>
      </c>
      <c r="AA23" s="72">
        <f t="shared" si="10"/>
        <v>67884.422330008994</v>
      </c>
      <c r="AB23" s="73">
        <f>'[2]Net SW Loss'!N28+S23+Z23</f>
        <v>181671.03000146302</v>
      </c>
      <c r="AC23" s="111">
        <f t="shared" si="3"/>
        <v>807.18800921515879</v>
      </c>
      <c r="AD23" s="111">
        <f t="shared" si="4"/>
        <v>0</v>
      </c>
      <c r="AE23" s="111">
        <f t="shared" si="5"/>
        <v>180081.77598793994</v>
      </c>
      <c r="AF23" s="111">
        <f>'NorthPlatte_IRR Season'!X23</f>
        <v>0</v>
      </c>
      <c r="AG23" s="19"/>
      <c r="AH23" s="73">
        <f t="shared" si="6"/>
        <v>576971.30207032617</v>
      </c>
      <c r="AI23" s="73">
        <f t="shared" si="11"/>
        <v>653234.42157111818</v>
      </c>
      <c r="AJ23" s="55"/>
      <c r="AK23" s="87">
        <f t="shared" si="7"/>
        <v>-551307.8600258308</v>
      </c>
      <c r="AL23" s="87">
        <f t="shared" si="8"/>
        <v>-627570.9795266228</v>
      </c>
    </row>
    <row r="24" spans="1:38" x14ac:dyDescent="0.25">
      <c r="A24" s="147">
        <v>2004</v>
      </c>
      <c r="B24" s="78">
        <f>'[1]Capped Flow'!Q23</f>
        <v>288939.41999999993</v>
      </c>
      <c r="C24" s="78">
        <f>'[1]Capped Flow'!T23</f>
        <v>5578.0560000000014</v>
      </c>
      <c r="D24" s="78">
        <f>'[1]Upper Platte Gage Data'!H24</f>
        <v>28371.420000000002</v>
      </c>
      <c r="E24" s="78">
        <f t="shared" si="9"/>
        <v>-254989.94399999993</v>
      </c>
      <c r="F24" s="72">
        <f>[2]SWCU!L26</f>
        <v>55661.557770083731</v>
      </c>
      <c r="G24" s="76">
        <f>IF('[2]Reservoir Evap'!K27&gt;0,'[2]Reservoir Evap'!K27,0)</f>
        <v>604.97156377953047</v>
      </c>
      <c r="H24" s="72">
        <f>'[2]GW Depletions'!U31+'[2]GW Depletions'!T31</f>
        <v>45749.544802800738</v>
      </c>
      <c r="J24" s="78">
        <f t="shared" si="0"/>
        <v>-152973.86986333592</v>
      </c>
      <c r="K24" s="154">
        <f>'[3]Req Inflow'!M23</f>
        <v>194550.14151261409</v>
      </c>
      <c r="L24" s="154">
        <f t="shared" si="1"/>
        <v>41576.271649278176</v>
      </c>
      <c r="N24" s="72">
        <f>[2]SWDemand!T30</f>
        <v>46230.364590000128</v>
      </c>
      <c r="O24" s="72">
        <f>'[2]M&amp;I COHYST Summary'!E52</f>
        <v>2237.8100000000004</v>
      </c>
      <c r="P24" s="72">
        <f>MAX([2]GWCU!H28*0.3+[2]GWCU!I28*0.3+[2]GWCU!J28*0.3,H24)</f>
        <v>104761.80867249973</v>
      </c>
      <c r="Q24" s="72">
        <f>MIN(B24+'NorthPlatte_IRR Season'!H24+'Lewellen_Irrigation Season'!E24+'SPlatte_Irrigation Season'!G24,'[2]Hydro Demand'!$C$23)</f>
        <v>386310.55258533475</v>
      </c>
      <c r="R24" s="72">
        <f>[2]SWDemand!Q30</f>
        <v>63197.762640000481</v>
      </c>
      <c r="S24" s="72">
        <f>'[2]Net SW Loss'!P29</f>
        <v>129167.61999649971</v>
      </c>
      <c r="T24" s="72">
        <f t="shared" si="2"/>
        <v>193945.16994883455</v>
      </c>
      <c r="U24" s="72">
        <f>'[1]Upper Platte Gage Data'!K24</f>
        <v>98924.760000000009</v>
      </c>
      <c r="V24" s="72">
        <f>IF('[3]DS Demand'!Q23&gt;0,'[3]DS Demand'!Q23,0)</f>
        <v>193945.16994883455</v>
      </c>
      <c r="W24" s="72">
        <f>'[4]Odessa Instream Flow Calc'!L23</f>
        <v>30310.336016625239</v>
      </c>
      <c r="X24" s="72">
        <f>MIN('[2]Hydro Demand'!$C$16,'[1]Capped Flow'!S23+'NorthPlatte_IRR Season'!H24+'Lewellen_Irrigation Season'!E24+'SPlatte_Irrigation Season'!G24+'[2]GW Depletions'!T31)</f>
        <v>72864</v>
      </c>
      <c r="Y24" s="72">
        <f>[2]SWDemand!U30</f>
        <v>3518.6415600000014</v>
      </c>
      <c r="Z24" s="72">
        <f>'[2]Net SW Loss'!O29</f>
        <v>54.279999991000011</v>
      </c>
      <c r="AA24" s="72">
        <f t="shared" si="10"/>
        <v>69291.078440008991</v>
      </c>
      <c r="AB24" s="73">
        <f>'[2]Net SW Loss'!N29+S24+Z24</f>
        <v>176567.5099954427</v>
      </c>
      <c r="AC24" s="111">
        <f t="shared" si="3"/>
        <v>604.97156377953047</v>
      </c>
      <c r="AD24" s="111">
        <f t="shared" si="4"/>
        <v>0</v>
      </c>
      <c r="AE24" s="111">
        <f t="shared" si="5"/>
        <v>193945.16994883455</v>
      </c>
      <c r="AF24" s="111">
        <f>'NorthPlatte_IRR Season'!X24</f>
        <v>0</v>
      </c>
      <c r="AG24" s="19"/>
      <c r="AH24" s="73">
        <f t="shared" si="6"/>
        <v>532051.77510085818</v>
      </c>
      <c r="AI24" s="73">
        <f t="shared" si="11"/>
        <v>591064.03897055716</v>
      </c>
      <c r="AJ24" s="55"/>
      <c r="AK24" s="87">
        <f t="shared" si="7"/>
        <v>-490475.50345158001</v>
      </c>
      <c r="AL24" s="87">
        <f t="shared" si="8"/>
        <v>-549487.76732127904</v>
      </c>
    </row>
    <row r="25" spans="1:38" x14ac:dyDescent="0.25">
      <c r="A25" s="147">
        <v>2005</v>
      </c>
      <c r="B25" s="78">
        <f>'[1]Capped Flow'!Q24</f>
        <v>323268.66000000015</v>
      </c>
      <c r="C25" s="78">
        <f>'[1]Capped Flow'!T24</f>
        <v>75844.493999999992</v>
      </c>
      <c r="D25" s="78">
        <f>'[1]Upper Platte Gage Data'!H25</f>
        <v>41770.079999999994</v>
      </c>
      <c r="E25" s="78">
        <f t="shared" si="9"/>
        <v>-205654.08600000016</v>
      </c>
      <c r="F25" s="72">
        <f>[2]SWCU!L27</f>
        <v>56561.038345415727</v>
      </c>
      <c r="G25" s="76">
        <f>IF('[2]Reservoir Evap'!K28&gt;0,'[2]Reservoir Evap'!K28,0)</f>
        <v>127.12523171924929</v>
      </c>
      <c r="H25" s="72">
        <f>'[2]GW Depletions'!U32+'[2]GW Depletions'!T32</f>
        <v>46426.214290633608</v>
      </c>
      <c r="J25" s="78">
        <f t="shared" si="0"/>
        <v>-102539.70813223156</v>
      </c>
      <c r="K25" s="154">
        <f>'[3]Req Inflow'!M24</f>
        <v>215195.55023483798</v>
      </c>
      <c r="L25" s="154">
        <f t="shared" si="1"/>
        <v>112655.84210260642</v>
      </c>
      <c r="N25" s="72">
        <f>[2]SWDemand!T31</f>
        <v>64867.860629999974</v>
      </c>
      <c r="O25" s="72">
        <f>'[2]M&amp;I COHYST Summary'!E53</f>
        <v>2326.58</v>
      </c>
      <c r="P25" s="72">
        <f>MAX([2]GWCU!H29*0.3+[2]GWCU!I29*0.3+[2]GWCU!J29*0.3,H25)</f>
        <v>125953.4403075001</v>
      </c>
      <c r="Q25" s="72">
        <f>MIN(B25+'NorthPlatte_IRR Season'!H25+'Lewellen_Irrigation Season'!E25+'SPlatte_Irrigation Season'!G25,'[2]Hydro Demand'!$C$23)</f>
        <v>409860</v>
      </c>
      <c r="R25" s="72">
        <f>[2]SWDemand!Q31</f>
        <v>60729.875010001175</v>
      </c>
      <c r="S25" s="72">
        <f>'[2]Net SW Loss'!P30</f>
        <v>134061.69998688</v>
      </c>
      <c r="T25" s="72">
        <f t="shared" si="2"/>
        <v>215068.42500311881</v>
      </c>
      <c r="U25" s="72">
        <f>'[1]Upper Platte Gage Data'!K25</f>
        <v>113000.58000000002</v>
      </c>
      <c r="V25" s="72">
        <f>IF('[3]DS Demand'!Q24&gt;0,'[3]DS Demand'!Q24,0)</f>
        <v>215068.42500311881</v>
      </c>
      <c r="W25" s="72">
        <f>'[4]Odessa Instream Flow Calc'!L24</f>
        <v>55699.772232559859</v>
      </c>
      <c r="X25" s="72">
        <f>MIN('[2]Hydro Demand'!$C$16,'[1]Capped Flow'!S24+'NorthPlatte_IRR Season'!H25+'Lewellen_Irrigation Season'!E25+'SPlatte_Irrigation Season'!G25+'[2]GW Depletions'!T32)</f>
        <v>72864</v>
      </c>
      <c r="Y25" s="72">
        <f>[2]SWDemand!U31</f>
        <v>3852.804839999998</v>
      </c>
      <c r="Z25" s="72">
        <f>'[2]Net SW Loss'!O30</f>
        <v>54.279999991000011</v>
      </c>
      <c r="AA25" s="72">
        <f t="shared" si="10"/>
        <v>68956.915160008997</v>
      </c>
      <c r="AB25" s="73">
        <f>'[2]Net SW Loss'!N30+S25+Z25</f>
        <v>180798.389986113</v>
      </c>
      <c r="AC25" s="111">
        <f t="shared" si="3"/>
        <v>127.12523171924929</v>
      </c>
      <c r="AD25" s="111">
        <f t="shared" si="4"/>
        <v>0</v>
      </c>
      <c r="AE25" s="111">
        <f t="shared" si="5"/>
        <v>215068.42500311881</v>
      </c>
      <c r="AF25" s="111">
        <f>'NorthPlatte_IRR Season'!X25</f>
        <v>25286.925059349946</v>
      </c>
      <c r="AG25" s="19"/>
      <c r="AH25" s="73">
        <f t="shared" si="6"/>
        <v>548910.34993223578</v>
      </c>
      <c r="AI25" s="73">
        <f t="shared" si="11"/>
        <v>628437.57594910229</v>
      </c>
      <c r="AJ25" s="55"/>
      <c r="AK25" s="87">
        <f t="shared" si="7"/>
        <v>-436254.50782962935</v>
      </c>
      <c r="AL25" s="87">
        <f t="shared" si="8"/>
        <v>-515781.73384649586</v>
      </c>
    </row>
    <row r="26" spans="1:38" x14ac:dyDescent="0.25">
      <c r="A26" s="147">
        <v>2006</v>
      </c>
      <c r="B26" s="78">
        <f>'[1]Capped Flow'!Q25</f>
        <v>311343.11999999994</v>
      </c>
      <c r="C26" s="78">
        <f>'[1]Capped Flow'!T25</f>
        <v>5749.9199999999919</v>
      </c>
      <c r="D26" s="78">
        <f>'[1]Upper Platte Gage Data'!H26</f>
        <v>30520.116000000009</v>
      </c>
      <c r="E26" s="78">
        <f t="shared" si="9"/>
        <v>-275073.08399999992</v>
      </c>
      <c r="F26" s="72">
        <f>[2]SWCU!L28</f>
        <v>16248.384398999944</v>
      </c>
      <c r="G26" s="76">
        <f>IF('[2]Reservoir Evap'!K29&gt;0,'[2]Reservoir Evap'!K29,0)</f>
        <v>15.015422094300197</v>
      </c>
      <c r="H26" s="72">
        <f>'[2]GW Depletions'!U33+'[2]GW Depletions'!T33</f>
        <v>48442.084847681355</v>
      </c>
      <c r="J26" s="78">
        <f t="shared" si="0"/>
        <v>-210367.59933122434</v>
      </c>
      <c r="K26" s="154">
        <f>'[3]Req Inflow'!M25</f>
        <v>265597.68859946012</v>
      </c>
      <c r="L26" s="154">
        <f t="shared" si="1"/>
        <v>55230.089268235781</v>
      </c>
      <c r="N26" s="72">
        <f>[2]SWDemand!T32</f>
        <v>11916.434609999995</v>
      </c>
      <c r="O26" s="72">
        <f>'[2]M&amp;I COHYST Summary'!E54</f>
        <v>2326.58</v>
      </c>
      <c r="P26" s="72">
        <f>MAX([2]GWCU!H30*0.3+[2]GWCU!I30*0.3+[2]GWCU!J30*0.3,H26)</f>
        <v>111734.43716000003</v>
      </c>
      <c r="Q26" s="72">
        <f>MIN(B26+'NorthPlatte_IRR Season'!H26+'Lewellen_Irrigation Season'!E26+'SPlatte_Irrigation Season'!G26,'[2]Hydro Demand'!$C$23)</f>
        <v>409461.12726414559</v>
      </c>
      <c r="R26" s="72">
        <f>[2]SWDemand!Q32</f>
        <v>10889.724089999921</v>
      </c>
      <c r="S26" s="72">
        <f>'[2]Net SW Loss'!P31</f>
        <v>132988.7299967799</v>
      </c>
      <c r="T26" s="72">
        <f t="shared" si="2"/>
        <v>265582.6731773658</v>
      </c>
      <c r="U26" s="72">
        <f>'[1]Upper Platte Gage Data'!K26</f>
        <v>114699.42000000006</v>
      </c>
      <c r="V26" s="72">
        <f>IF('[3]DS Demand'!Q25&gt;0,'[3]DS Demand'!Q25,0)</f>
        <v>265582.6731773658</v>
      </c>
      <c r="W26" s="72">
        <f>'[4]Odessa Instream Flow Calc'!L25</f>
        <v>21368.160459699604</v>
      </c>
      <c r="X26" s="72">
        <f>MIN('[2]Hydro Demand'!$C$16,'[1]Capped Flow'!S25+'NorthPlatte_IRR Season'!H26+'Lewellen_Irrigation Season'!E26+'SPlatte_Irrigation Season'!G26+'[2]GW Depletions'!T33)</f>
        <v>72864</v>
      </c>
      <c r="Y26" s="72">
        <f>[2]SWDemand!U32</f>
        <v>2191.3557600000004</v>
      </c>
      <c r="Z26" s="72">
        <f>'[2]Net SW Loss'!O31</f>
        <v>54.279999991000011</v>
      </c>
      <c r="AA26" s="72">
        <f t="shared" si="10"/>
        <v>70618.364240008988</v>
      </c>
      <c r="AB26" s="73">
        <f>'[2]Net SW Loss'!N31+S26+Z26</f>
        <v>179819.81999567291</v>
      </c>
      <c r="AC26" s="111">
        <f t="shared" si="3"/>
        <v>15.015422094300197</v>
      </c>
      <c r="AD26" s="111">
        <f t="shared" si="4"/>
        <v>0</v>
      </c>
      <c r="AE26" s="111">
        <f t="shared" si="5"/>
        <v>265582.6731773658</v>
      </c>
      <c r="AF26" s="111">
        <f>'NorthPlatte_IRR Season'!X26</f>
        <v>0</v>
      </c>
      <c r="AG26" s="19"/>
      <c r="AH26" s="73">
        <f t="shared" si="6"/>
        <v>521183.6879028143</v>
      </c>
      <c r="AI26" s="73">
        <f t="shared" si="11"/>
        <v>584476.04021513287</v>
      </c>
      <c r="AJ26" s="55"/>
      <c r="AK26" s="87">
        <f t="shared" si="7"/>
        <v>-465953.59863457852</v>
      </c>
      <c r="AL26" s="87">
        <f t="shared" si="8"/>
        <v>-529245.95094689704</v>
      </c>
    </row>
    <row r="27" spans="1:38" x14ac:dyDescent="0.25">
      <c r="A27" s="147">
        <v>2007</v>
      </c>
      <c r="B27" s="78">
        <f>'[1]Capped Flow'!Q26</f>
        <v>296821.8000000001</v>
      </c>
      <c r="C27" s="78">
        <f>'[1]Capped Flow'!T26</f>
        <v>167062.49999999997</v>
      </c>
      <c r="D27" s="78">
        <f>'[1]Upper Platte Gage Data'!H27</f>
        <v>52244.28</v>
      </c>
      <c r="E27" s="78">
        <f t="shared" si="9"/>
        <v>-77515.020000000135</v>
      </c>
      <c r="F27" s="72">
        <f>[2]SWCU!L29</f>
        <v>13446.40952849998</v>
      </c>
      <c r="G27" s="76">
        <f>IF('[2]Reservoir Evap'!K30&gt;0,'[2]Reservoir Evap'!K30,0)</f>
        <v>99.954754186185497</v>
      </c>
      <c r="H27" s="72">
        <f>'[2]GW Depletions'!U34+'[2]GW Depletions'!T34</f>
        <v>48954.19494926538</v>
      </c>
      <c r="J27" s="78">
        <f t="shared" si="0"/>
        <v>-15014.460768048593</v>
      </c>
      <c r="K27" s="154">
        <f>'[3]Req Inflow'!M26</f>
        <v>252477.22699443286</v>
      </c>
      <c r="L27" s="154">
        <f t="shared" si="1"/>
        <v>237462.76622638426</v>
      </c>
      <c r="N27" s="72">
        <f>[2]SWDemand!T33</f>
        <v>8499.3780899999892</v>
      </c>
      <c r="O27" s="72">
        <f>'[2]M&amp;I COHYST Summary'!E55</f>
        <v>2326.58</v>
      </c>
      <c r="P27" s="72">
        <f>MAX([2]GWCU!H31*0.3+[2]GWCU!I31*0.3+[2]GWCU!J31*0.3,H27)</f>
        <v>88022.580887499935</v>
      </c>
      <c r="Q27" s="72">
        <f>MIN(B27+'NorthPlatte_IRR Season'!H27+'Lewellen_Irrigation Season'!E27+'SPlatte_Irrigation Season'!G27,'[2]Hydro Demand'!$C$23)</f>
        <v>393829.09563884657</v>
      </c>
      <c r="R27" s="72">
        <f>[2]SWDemand!Q33</f>
        <v>10132.19339999998</v>
      </c>
      <c r="S27" s="72">
        <f>'[2]Net SW Loss'!P32</f>
        <v>131319.62999859994</v>
      </c>
      <c r="T27" s="72">
        <f t="shared" si="2"/>
        <v>252377.27224024665</v>
      </c>
      <c r="U27" s="72">
        <f>'[1]Upper Platte Gage Data'!K27</f>
        <v>74519.27999999997</v>
      </c>
      <c r="V27" s="72">
        <f>IF('[3]DS Demand'!Q26&gt;0,'[3]DS Demand'!Q26,0)</f>
        <v>252377.27224024665</v>
      </c>
      <c r="W27" s="72">
        <f>'[4]Odessa Instream Flow Calc'!L26</f>
        <v>85994.571531324589</v>
      </c>
      <c r="X27" s="72">
        <f>MIN('[2]Hydro Demand'!$C$16,'[1]Capped Flow'!S26+'NorthPlatte_IRR Season'!H27+'Lewellen_Irrigation Season'!E27+'SPlatte_Irrigation Season'!G27+'[2]GW Depletions'!T34)</f>
        <v>72864</v>
      </c>
      <c r="Y27" s="72">
        <f>[2]SWDemand!U33</f>
        <v>2055.2124000000003</v>
      </c>
      <c r="Z27" s="72">
        <f>'[2]Net SW Loss'!O32</f>
        <v>54.279999991000011</v>
      </c>
      <c r="AA27" s="72">
        <f t="shared" si="10"/>
        <v>70754.50760000899</v>
      </c>
      <c r="AB27" s="73">
        <f>'[2]Net SW Loss'!N32+S27+Z27</f>
        <v>179176.16999827296</v>
      </c>
      <c r="AC27" s="111">
        <f t="shared" si="3"/>
        <v>99.954754186185497</v>
      </c>
      <c r="AD27" s="111">
        <f t="shared" si="4"/>
        <v>0</v>
      </c>
      <c r="AE27" s="111">
        <f t="shared" si="5"/>
        <v>252377.27224024665</v>
      </c>
      <c r="AF27" s="111">
        <f>'NorthPlatte_IRR Season'!X27</f>
        <v>47308.101719349965</v>
      </c>
      <c r="AG27" s="19"/>
      <c r="AH27" s="73">
        <f t="shared" si="6"/>
        <v>456312.85411262122</v>
      </c>
      <c r="AI27" s="73">
        <f t="shared" si="11"/>
        <v>495381.24005085573</v>
      </c>
      <c r="AJ27" s="55"/>
      <c r="AK27" s="87">
        <f t="shared" si="7"/>
        <v>-218850.08788623696</v>
      </c>
      <c r="AL27" s="87">
        <f t="shared" si="8"/>
        <v>-257918.47382447147</v>
      </c>
    </row>
    <row r="28" spans="1:38" x14ac:dyDescent="0.25">
      <c r="A28" s="147">
        <v>2008</v>
      </c>
      <c r="B28" s="78">
        <f>'[1]Capped Flow'!Q27</f>
        <v>255625.9200000001</v>
      </c>
      <c r="C28" s="78">
        <f>'[1]Capped Flow'!T27</f>
        <v>134933.04000000007</v>
      </c>
      <c r="D28" s="78">
        <f>'[1]Upper Platte Gage Data'!H28</f>
        <v>30337.956000000013</v>
      </c>
      <c r="E28" s="78">
        <f t="shared" si="9"/>
        <v>-90354.924000000028</v>
      </c>
      <c r="F28" s="72">
        <f>[2]SWCU!L30</f>
        <v>26919.508921500019</v>
      </c>
      <c r="G28" s="76">
        <f>IF('[2]Reservoir Evap'!K31&gt;0,'[2]Reservoir Evap'!K31,0)</f>
        <v>144.9887512269348</v>
      </c>
      <c r="H28" s="72">
        <f>'[2]GW Depletions'!U35+'[2]GW Depletions'!T35</f>
        <v>43971.084789141416</v>
      </c>
      <c r="J28" s="78">
        <f t="shared" si="0"/>
        <v>-19319.341538131659</v>
      </c>
      <c r="K28" s="154">
        <f>'[3]Req Inflow'!M27</f>
        <v>205340.1577509504</v>
      </c>
      <c r="L28" s="154">
        <f t="shared" si="1"/>
        <v>186020.81621281873</v>
      </c>
      <c r="N28" s="72">
        <f>[2]SWDemand!T34</f>
        <v>20580.011369999967</v>
      </c>
      <c r="O28" s="72">
        <f>'[2]M&amp;I COHYST Summary'!E56</f>
        <v>2326.58</v>
      </c>
      <c r="P28" s="72">
        <f>MAX([2]GWCU!H32*0.3+[2]GWCU!I32*0.3+[2]GWCU!J32*0.3,H28)</f>
        <v>180126.47994500032</v>
      </c>
      <c r="Q28" s="72">
        <f>MIN(B28+'NorthPlatte_IRR Season'!H28+'Lewellen_Irrigation Season'!E28+'SPlatte_Irrigation Season'!G28,'[2]Hydro Demand'!$C$23)</f>
        <v>346250.31061591342</v>
      </c>
      <c r="R28" s="72">
        <f>[2]SWDemand!Q34</f>
        <v>18032.221620000062</v>
      </c>
      <c r="S28" s="72">
        <f>'[2]Net SW Loss'!P33</f>
        <v>123022.91999618986</v>
      </c>
      <c r="T28" s="72">
        <f t="shared" si="2"/>
        <v>205195.16899972348</v>
      </c>
      <c r="U28" s="72">
        <f>'[1]Upper Platte Gage Data'!K28</f>
        <v>66526.02</v>
      </c>
      <c r="V28" s="72">
        <f>IF('[3]DS Demand'!Q27&gt;0,'[3]DS Demand'!Q27,0)</f>
        <v>205195.16899972348</v>
      </c>
      <c r="W28" s="72">
        <f>'[4]Odessa Instream Flow Calc'!L27</f>
        <v>80221.936405650515</v>
      </c>
      <c r="X28" s="72">
        <f>MIN('[2]Hydro Demand'!$C$16,'[1]Capped Flow'!S27+'NorthPlatte_IRR Season'!H28+'Lewellen_Irrigation Season'!E28+'SPlatte_Irrigation Season'!G28+'[2]GW Depletions'!T35)</f>
        <v>72864</v>
      </c>
      <c r="Y28" s="72">
        <f>[2]SWDemand!U34</f>
        <v>2802.3961200000003</v>
      </c>
      <c r="Z28" s="72">
        <f>'[2]Net SW Loss'!O33</f>
        <v>54.219999991000009</v>
      </c>
      <c r="AA28" s="72">
        <f t="shared" si="10"/>
        <v>70007.383880009002</v>
      </c>
      <c r="AB28" s="73">
        <f>'[2]Net SW Loss'!N33+S28+Z28</f>
        <v>169295.37999581287</v>
      </c>
      <c r="AC28" s="111">
        <f t="shared" si="3"/>
        <v>144.9887512269348</v>
      </c>
      <c r="AD28" s="111">
        <f t="shared" si="4"/>
        <v>0</v>
      </c>
      <c r="AE28" s="111">
        <f t="shared" si="5"/>
        <v>205195.16899972348</v>
      </c>
      <c r="AF28" s="111">
        <f>'NorthPlatte_IRR Season'!X28</f>
        <v>65701.417519349954</v>
      </c>
      <c r="AG28" s="19"/>
      <c r="AH28" s="73">
        <f t="shared" si="6"/>
        <v>396646.4141265548</v>
      </c>
      <c r="AI28" s="73">
        <f t="shared" si="11"/>
        <v>532801.80928241368</v>
      </c>
      <c r="AJ28" s="55"/>
      <c r="AK28" s="87">
        <f t="shared" si="7"/>
        <v>-210625.59791373607</v>
      </c>
      <c r="AL28" s="87">
        <f t="shared" si="8"/>
        <v>-346780.99306959496</v>
      </c>
    </row>
    <row r="29" spans="1:38" x14ac:dyDescent="0.25">
      <c r="A29" s="147">
        <v>2009</v>
      </c>
      <c r="B29" s="78">
        <f>'[1]Capped Flow'!Q28</f>
        <v>379377.9</v>
      </c>
      <c r="C29" s="78">
        <f>'[1]Capped Flow'!T28</f>
        <v>108220.86000000003</v>
      </c>
      <c r="D29" s="78">
        <f>'[1]Upper Platte Gage Data'!H29</f>
        <v>50074.200000000004</v>
      </c>
      <c r="E29" s="78">
        <f t="shared" si="9"/>
        <v>-221082.83999999997</v>
      </c>
      <c r="F29" s="72">
        <f>[2]SWCU!L31</f>
        <v>23878.374428999956</v>
      </c>
      <c r="G29" s="76">
        <f>IF('[2]Reservoir Evap'!K32&gt;0,'[2]Reservoir Evap'!K32,0)</f>
        <v>57.977108931557083</v>
      </c>
      <c r="H29" s="72">
        <f>'[2]GW Depletions'!U36+'[2]GW Depletions'!T36</f>
        <v>42681.742139003676</v>
      </c>
      <c r="J29" s="78">
        <f t="shared" si="0"/>
        <v>-154464.74632306478</v>
      </c>
      <c r="K29" s="154">
        <f>'[3]Req Inflow'!M28</f>
        <v>256123.69538923155</v>
      </c>
      <c r="L29" s="154">
        <f t="shared" si="1"/>
        <v>101658.94906616677</v>
      </c>
      <c r="N29" s="72">
        <f>[2]SWDemand!T35</f>
        <v>18093.361110000002</v>
      </c>
      <c r="O29" s="72">
        <f>'[2]M&amp;I COHYST Summary'!E57</f>
        <v>2326.58</v>
      </c>
      <c r="P29" s="72">
        <f>MAX([2]GWCU!H33*0.3+[2]GWCU!I33*0.3+[2]GWCU!J33*0.3,H29)</f>
        <v>161840.08620299055</v>
      </c>
      <c r="Q29" s="72">
        <f>MIN(B29+'NorthPlatte_IRR Season'!H29+'Lewellen_Irrigation Season'!E29+'SPlatte_Irrigation Season'!G29,'[2]Hydro Demand'!$C$23)</f>
        <v>409860</v>
      </c>
      <c r="R29" s="72">
        <f>[2]SWDemand!Q35</f>
        <v>15742.331729999931</v>
      </c>
      <c r="S29" s="72">
        <f>'[2]Net SW Loss'!P34</f>
        <v>138051.94998970011</v>
      </c>
      <c r="T29" s="72">
        <f t="shared" si="2"/>
        <v>256065.71828029997</v>
      </c>
      <c r="U29" s="72">
        <f>'[1]Upper Platte Gage Data'!K29</f>
        <v>74651.939999999988</v>
      </c>
      <c r="V29" s="72">
        <f>IF('[3]DS Demand'!Q28&gt;0,'[3]DS Demand'!Q28,0)</f>
        <v>256065.71828029997</v>
      </c>
      <c r="W29" s="72">
        <f>'[4]Odessa Instream Flow Calc'!L28</f>
        <v>88826.203108090514</v>
      </c>
      <c r="X29" s="72">
        <f>MIN('[2]Hydro Demand'!$C$16,'[1]Capped Flow'!S28+'NorthPlatte_IRR Season'!H29+'Lewellen_Irrigation Season'!E29+'SPlatte_Irrigation Season'!G29+'[2]GW Depletions'!T36)</f>
        <v>72864</v>
      </c>
      <c r="Y29" s="72">
        <f>[2]SWDemand!U35</f>
        <v>2900.2678200000009</v>
      </c>
      <c r="Z29" s="72">
        <f>'[2]Net SW Loss'!O34</f>
        <v>54.279999991000011</v>
      </c>
      <c r="AA29" s="72">
        <f t="shared" si="10"/>
        <v>69909.452180008986</v>
      </c>
      <c r="AB29" s="73">
        <f>'[2]Net SW Loss'!N34+S29+Z29</f>
        <v>186594.31998844311</v>
      </c>
      <c r="AC29" s="111">
        <f t="shared" si="3"/>
        <v>57.977108931557083</v>
      </c>
      <c r="AD29" s="111">
        <f t="shared" si="4"/>
        <v>5866.3477609069087</v>
      </c>
      <c r="AE29" s="111">
        <f t="shared" si="5"/>
        <v>256065.71828029997</v>
      </c>
      <c r="AF29" s="111">
        <f>'NorthPlatte_IRR Season'!X29</f>
        <v>229196.62840934994</v>
      </c>
      <c r="AG29" s="19"/>
      <c r="AH29" s="73">
        <f t="shared" si="6"/>
        <v>301132.01752823527</v>
      </c>
      <c r="AI29" s="73">
        <f t="shared" si="11"/>
        <v>420290.36159222212</v>
      </c>
      <c r="AJ29" s="55"/>
      <c r="AK29" s="87">
        <f t="shared" si="7"/>
        <v>-199473.06846206851</v>
      </c>
      <c r="AL29" s="87">
        <f t="shared" si="8"/>
        <v>-318631.41252605536</v>
      </c>
    </row>
    <row r="30" spans="1:38" x14ac:dyDescent="0.25">
      <c r="A30" s="147">
        <v>2010</v>
      </c>
      <c r="B30" s="78">
        <f>'[1]Capped Flow'!Q29</f>
        <v>594653.39999999991</v>
      </c>
      <c r="C30" s="78">
        <f>'[1]Capped Flow'!T29</f>
        <v>433119.06000000006</v>
      </c>
      <c r="D30" s="78">
        <f>'[1]Upper Platte Gage Data'!H30</f>
        <v>53537.22</v>
      </c>
      <c r="E30" s="78">
        <f t="shared" si="9"/>
        <v>-107997.11999999985</v>
      </c>
      <c r="F30" s="72">
        <f>[2]SWCU!L32</f>
        <v>26644.629394500003</v>
      </c>
      <c r="G30" s="76">
        <f>IF('[2]Reservoir Evap'!K33&gt;0,'[2]Reservoir Evap'!K33,0)</f>
        <v>799.85117620595599</v>
      </c>
      <c r="H30" s="72">
        <f>'[2]GW Depletions'!U37+'[2]GW Depletions'!T37</f>
        <v>41280.514160697887</v>
      </c>
      <c r="J30" s="78">
        <f t="shared" si="0"/>
        <v>-39272.125268596006</v>
      </c>
      <c r="K30" s="154">
        <f>'[3]Req Inflow'!M29</f>
        <v>243772.72985464599</v>
      </c>
      <c r="L30" s="154">
        <f t="shared" si="1"/>
        <v>204500.60458604997</v>
      </c>
      <c r="N30" s="72">
        <f>[2]SWDemand!T36</f>
        <v>17830.842900000025</v>
      </c>
      <c r="O30" s="72">
        <f>'[2]M&amp;I COHYST Summary'!E58</f>
        <v>2326.58</v>
      </c>
      <c r="P30" s="72">
        <f>MAX([2]GWCU!H34*0.3+[2]GWCU!I34*0.3+[2]GWCU!J34*0.3,H30)</f>
        <v>175449.02671231737</v>
      </c>
      <c r="Q30" s="72">
        <f>MIN(B30+'NorthPlatte_IRR Season'!H30+'Lewellen_Irrigation Season'!E30+'SPlatte_Irrigation Season'!G30,'[2]Hydro Demand'!$C$23)</f>
        <v>409860</v>
      </c>
      <c r="R30" s="72">
        <f>[2]SWDemand!Q36</f>
        <v>19591.171319999983</v>
      </c>
      <c r="S30" s="72">
        <f>'[2]Net SW Loss'!P35</f>
        <v>147295.95000156004</v>
      </c>
      <c r="T30" s="72">
        <f t="shared" si="2"/>
        <v>242972.87867844</v>
      </c>
      <c r="U30" s="72">
        <f>'[1]Upper Platte Gage Data'!K30</f>
        <v>4247.1000000000004</v>
      </c>
      <c r="V30" s="72">
        <f>IF('[3]DS Demand'!Q29&gt;0,'[3]DS Demand'!Q29,0)</f>
        <v>242972.87867844</v>
      </c>
      <c r="W30" s="72">
        <f>'[4]Odessa Instream Flow Calc'!L29</f>
        <v>111110.81915341198</v>
      </c>
      <c r="X30" s="72">
        <f>MIN('[2]Hydro Demand'!$C$16,'[1]Capped Flow'!S29+'NorthPlatte_IRR Season'!H30+'Lewellen_Irrigation Season'!E30+'SPlatte_Irrigation Season'!G30+'[2]GW Depletions'!T37)</f>
        <v>72864</v>
      </c>
      <c r="Y30" s="72">
        <f>[2]SWDemand!U36</f>
        <v>3569.7233099999994</v>
      </c>
      <c r="Z30" s="72">
        <f>'[2]Net SW Loss'!O35</f>
        <v>54.279999991000011</v>
      </c>
      <c r="AA30" s="72">
        <f t="shared" si="10"/>
        <v>69239.996690008993</v>
      </c>
      <c r="AB30" s="73">
        <f>'[2]Net SW Loss'!N35+S30+Z30</f>
        <v>195614.18000038306</v>
      </c>
      <c r="AC30" s="111">
        <f t="shared" si="3"/>
        <v>799.85117620595599</v>
      </c>
      <c r="AD30" s="111">
        <f t="shared" si="4"/>
        <v>126399.66823896687</v>
      </c>
      <c r="AE30" s="111">
        <f t="shared" si="5"/>
        <v>242972.87867844</v>
      </c>
      <c r="AF30" s="111">
        <f>'NorthPlatte_IRR Season'!X30</f>
        <v>363005.58576934994</v>
      </c>
      <c r="AG30" s="19"/>
      <c r="AH30" s="73">
        <f t="shared" si="6"/>
        <v>287379.82401534379</v>
      </c>
      <c r="AI30" s="73">
        <f t="shared" si="11"/>
        <v>421548.33656696335</v>
      </c>
      <c r="AJ30" s="55"/>
      <c r="AK30" s="87">
        <f t="shared" si="7"/>
        <v>-82879.219429293822</v>
      </c>
      <c r="AL30" s="87">
        <f t="shared" si="8"/>
        <v>-217047.73198091338</v>
      </c>
    </row>
    <row r="31" spans="1:38" x14ac:dyDescent="0.25">
      <c r="A31" s="147">
        <v>2011</v>
      </c>
      <c r="B31" s="78">
        <f>'[1]Capped Flow'!Q30</f>
        <v>881654.39999999874</v>
      </c>
      <c r="C31" s="78">
        <f>'[1]Capped Flow'!T30</f>
        <v>791267.4</v>
      </c>
      <c r="D31" s="78">
        <f>'[1]Upper Platte Gage Data'!H31</f>
        <v>59360.399999999994</v>
      </c>
      <c r="E31" s="78">
        <f t="shared" si="9"/>
        <v>-31026.599999998725</v>
      </c>
      <c r="F31" s="72">
        <f>[2]SWCU!L33</f>
        <v>28531.167990000031</v>
      </c>
      <c r="G31" s="76">
        <f>IF('[2]Reservoir Evap'!K34&gt;0,'[2]Reservoir Evap'!K34,0)</f>
        <v>1089.3103918353229</v>
      </c>
      <c r="H31" s="72">
        <f>'[2]GW Depletions'!U38+'[2]GW Depletions'!T38</f>
        <v>41448.283919651054</v>
      </c>
      <c r="J31" s="78">
        <f t="shared" si="0"/>
        <v>40042.162301487682</v>
      </c>
      <c r="K31" s="154">
        <f>'[3]Req Inflow'!M30</f>
        <v>236643.90585292692</v>
      </c>
      <c r="L31" s="154">
        <f t="shared" si="1"/>
        <v>276686.06815441459</v>
      </c>
      <c r="N31" s="72">
        <f>[2]SWDemand!T37</f>
        <v>21029.269529999998</v>
      </c>
      <c r="O31" s="72">
        <f>'[2]M&amp;I COHYST Summary'!E59</f>
        <v>2326.58</v>
      </c>
      <c r="P31" s="72">
        <f>MAX([2]GWCU!H35*0.3+[2]GWCU!I35*0.3+[2]GWCU!J35*0.3,H31)</f>
        <v>184784.59380036854</v>
      </c>
      <c r="Q31" s="72">
        <f>MIN(B31+'NorthPlatte_IRR Season'!H31+'Lewellen_Irrigation Season'!E31+'SPlatte_Irrigation Season'!G31,'[2]Hydro Demand'!$C$23)</f>
        <v>409860</v>
      </c>
      <c r="R31" s="72">
        <f>[2]SWDemand!Q37</f>
        <v>19537.355880000046</v>
      </c>
      <c r="S31" s="72">
        <f>'[2]Net SW Loss'!P36</f>
        <v>147664.03000006001</v>
      </c>
      <c r="T31" s="72">
        <f t="shared" si="2"/>
        <v>242658.61411993994</v>
      </c>
      <c r="U31" s="72">
        <f>'[1]Upper Platte Gage Data'!K31</f>
        <v>0</v>
      </c>
      <c r="V31" s="72">
        <f>IF('[3]DS Demand'!Q30&gt;0,'[3]DS Demand'!Q30,0)</f>
        <v>242658.61411993994</v>
      </c>
      <c r="W31" s="72">
        <f>'[4]Odessa Instream Flow Calc'!L30</f>
        <v>93854.931633306041</v>
      </c>
      <c r="X31" s="72">
        <f>MIN('[2]Hydro Demand'!$C$16,'[1]Capped Flow'!S30+'NorthPlatte_IRR Season'!H31+'Lewellen_Irrigation Season'!E31+'SPlatte_Irrigation Season'!G31+'[2]GW Depletions'!T38)</f>
        <v>72864</v>
      </c>
      <c r="Y31" s="72">
        <f>[2]SWDemand!U37</f>
        <v>3327.4791900000014</v>
      </c>
      <c r="Z31" s="72">
        <f>'[2]Net SW Loss'!O36</f>
        <v>54.279999991000011</v>
      </c>
      <c r="AA31" s="72">
        <f t="shared" si="10"/>
        <v>69482.240810008996</v>
      </c>
      <c r="AB31" s="73">
        <f>'[2]Net SW Loss'!N36+S31+Z31</f>
        <v>195602.349999311</v>
      </c>
      <c r="AC31" s="111">
        <f t="shared" si="3"/>
        <v>1089.3103918353229</v>
      </c>
      <c r="AD31" s="111">
        <f t="shared" si="4"/>
        <v>0</v>
      </c>
      <c r="AE31" s="111">
        <f t="shared" si="5"/>
        <v>242658.61411993994</v>
      </c>
      <c r="AF31" s="111">
        <f>'NorthPlatte_IRR Season'!X31</f>
        <v>0</v>
      </c>
      <c r="AG31" s="19"/>
      <c r="AH31" s="73">
        <f t="shared" si="6"/>
        <v>527019.24303073727</v>
      </c>
      <c r="AI31" s="73">
        <f t="shared" si="11"/>
        <v>670355.55291145481</v>
      </c>
      <c r="AJ31" s="55"/>
      <c r="AK31" s="87">
        <f t="shared" si="7"/>
        <v>-250333.17487632268</v>
      </c>
      <c r="AL31" s="87">
        <f t="shared" si="8"/>
        <v>-393669.48475704022</v>
      </c>
    </row>
    <row r="32" spans="1:38" ht="18" customHeight="1" x14ac:dyDescent="0.25">
      <c r="A32" s="147">
        <v>2012</v>
      </c>
      <c r="B32" s="78">
        <f>'[1]Capped Flow'!Q31</f>
        <v>423799.19999999972</v>
      </c>
      <c r="C32" s="78">
        <f>'[1]Capped Flow'!T31</f>
        <v>22969.009799999989</v>
      </c>
      <c r="D32" s="78">
        <f>'[1]Upper Platte Gage Data'!H32</f>
        <v>32846.22</v>
      </c>
      <c r="E32" s="78">
        <f t="shared" si="9"/>
        <v>-367983.97019999975</v>
      </c>
      <c r="F32" s="72">
        <f>[2]SWCU!L34</f>
        <v>32647.993170000049</v>
      </c>
      <c r="G32" s="76">
        <f>IF('[2]Reservoir Evap'!K35&gt;0,'[2]Reservoir Evap'!K35,0)</f>
        <v>1444.3885832134706</v>
      </c>
      <c r="H32" s="72">
        <f>'[2]GW Depletions'!U39+'[2]GW Depletions'!T39</f>
        <v>50202.424188590448</v>
      </c>
      <c r="J32" s="78">
        <f t="shared" si="0"/>
        <v>-283689.16425819579</v>
      </c>
      <c r="K32" s="154">
        <f>'[3]Req Inflow'!M31</f>
        <v>0</v>
      </c>
      <c r="L32" s="154">
        <f t="shared" si="1"/>
        <v>-283689.16425819579</v>
      </c>
      <c r="N32" s="72">
        <f>[2]SWDemand!T38</f>
        <v>20520.513959999978</v>
      </c>
      <c r="O32" s="72">
        <f>'[2]M&amp;I COHYST Summary'!E60</f>
        <v>2326.58</v>
      </c>
      <c r="P32" s="72">
        <f>MAX([2]GWCU!H36*0.3+[2]GWCU!I36*0.3+[2]GWCU!J36*0.3,H32)</f>
        <v>202919.51079500001</v>
      </c>
      <c r="Q32" s="72">
        <f>MIN(B32+'NorthPlatte_IRR Season'!H32+'Lewellen_Irrigation Season'!E32+'SPlatte_Irrigation Season'!G32,'[2]Hydro Demand'!$C$23)</f>
        <v>409860</v>
      </c>
      <c r="R32" s="72">
        <f>[2]SWDemand!Q38</f>
        <v>25096.057920000094</v>
      </c>
      <c r="S32" s="72">
        <f>'[2]Net SW Loss'!P37</f>
        <v>146092.59999859976</v>
      </c>
      <c r="T32" s="72">
        <f t="shared" si="2"/>
        <v>238671.34208140013</v>
      </c>
      <c r="U32" s="72">
        <f>'[1]Upper Platte Gage Data'!K32</f>
        <v>90729.54</v>
      </c>
      <c r="V32" s="72">
        <f>IF('[3]DS Demand'!Q31&gt;0,'[3]DS Demand'!Q31,0)</f>
        <v>238671.34208140013</v>
      </c>
      <c r="W32" s="72">
        <f>'[4]Odessa Instream Flow Calc'!L31</f>
        <v>23618.816545622947</v>
      </c>
      <c r="X32" s="72">
        <f>MIN('[2]Hydro Demand'!$C$16,'[1]Capped Flow'!S31+'NorthPlatte_IRR Season'!H32+'Lewellen_Irrigation Season'!E32+'SPlatte_Irrigation Season'!G32+'[2]GW Depletions'!T39)</f>
        <v>72864</v>
      </c>
      <c r="Y32" s="72">
        <f>[2]SWDemand!U38</f>
        <v>4611.1099200000008</v>
      </c>
      <c r="Z32" s="72">
        <f>'[2]Net SW Loss'!O37</f>
        <v>54.219999991000009</v>
      </c>
      <c r="AA32" s="72">
        <f t="shared" si="10"/>
        <v>68198.670080009004</v>
      </c>
      <c r="AB32" s="73">
        <f>'[2]Net SW Loss'!N37+S32+Z32</f>
        <v>193938.55999773077</v>
      </c>
      <c r="AC32" s="111">
        <f t="shared" si="3"/>
        <v>1444.3885832134706</v>
      </c>
      <c r="AD32" s="111">
        <f t="shared" si="4"/>
        <v>0</v>
      </c>
      <c r="AE32" s="111">
        <f t="shared" si="5"/>
        <v>238671.34208140013</v>
      </c>
      <c r="AF32" s="111">
        <f>'NorthPlatte_IRR Season'!X32</f>
        <v>0</v>
      </c>
      <c r="AG32" s="19"/>
      <c r="AH32" s="73">
        <f t="shared" si="6"/>
        <v>536810.97665093478</v>
      </c>
      <c r="AI32" s="73">
        <f t="shared" si="11"/>
        <v>689528.06325734442</v>
      </c>
      <c r="AJ32" s="55"/>
      <c r="AK32" s="87">
        <f t="shared" si="7"/>
        <v>-820500.14090913057</v>
      </c>
      <c r="AL32" s="87">
        <f t="shared" si="8"/>
        <v>-973217.2275155402</v>
      </c>
    </row>
    <row r="33" spans="1:38" x14ac:dyDescent="0.25">
      <c r="J33"/>
      <c r="N33" s="6"/>
      <c r="O33" s="6"/>
      <c r="AB33"/>
      <c r="AC33" s="126"/>
      <c r="AD33" s="107"/>
      <c r="AE33" s="52"/>
      <c r="AF33" s="63"/>
      <c r="AG33" s="6"/>
    </row>
    <row r="34" spans="1:38" x14ac:dyDescent="0.25">
      <c r="H34"/>
      <c r="J34"/>
      <c r="N34" s="6"/>
      <c r="O34" s="6"/>
      <c r="AB34"/>
      <c r="AC34" s="126"/>
      <c r="AD34" s="107"/>
      <c r="AE34" s="52"/>
      <c r="AF34" s="63"/>
      <c r="AG34" s="6"/>
    </row>
    <row r="35" spans="1:38" x14ac:dyDescent="0.25">
      <c r="A35" s="6" t="s">
        <v>9</v>
      </c>
      <c r="B35" s="18">
        <f>AVERAGE(B8:B32)</f>
        <v>477318.83759999991</v>
      </c>
      <c r="C35" s="18">
        <f t="shared" ref="C35:AL35" si="12">AVERAGE(C8:C32)</f>
        <v>199137.71671199999</v>
      </c>
      <c r="D35" s="18">
        <f t="shared" si="12"/>
        <v>39092.161679999997</v>
      </c>
      <c r="E35" s="18">
        <f t="shared" si="12"/>
        <v>-239088.95920799987</v>
      </c>
      <c r="F35" s="18">
        <f t="shared" si="12"/>
        <v>73466.705140937702</v>
      </c>
      <c r="G35" s="18">
        <f t="shared" si="12"/>
        <v>670.33091842016893</v>
      </c>
      <c r="H35" s="18">
        <f t="shared" si="12"/>
        <v>39064.28716066575</v>
      </c>
      <c r="I35" s="18"/>
      <c r="J35" s="18">
        <f t="shared" si="12"/>
        <v>-125887.63598797623</v>
      </c>
      <c r="K35" s="18">
        <f t="shared" si="12"/>
        <v>179559.19501648261</v>
      </c>
      <c r="L35" s="18">
        <f t="shared" si="12"/>
        <v>53671.559028506381</v>
      </c>
      <c r="M35" s="18"/>
      <c r="N35" s="18">
        <f t="shared" si="12"/>
        <v>55762.782298799997</v>
      </c>
      <c r="O35" s="18">
        <f t="shared" si="12"/>
        <v>2087.5216000000005</v>
      </c>
      <c r="P35" s="18">
        <f t="shared" si="12"/>
        <v>113199.14684032708</v>
      </c>
      <c r="Q35" s="18">
        <f t="shared" si="12"/>
        <v>401389.90891007701</v>
      </c>
      <c r="R35" s="18">
        <f t="shared" si="12"/>
        <v>67519.981052399991</v>
      </c>
      <c r="S35" s="18">
        <f t="shared" si="12"/>
        <v>144275.47359777399</v>
      </c>
      <c r="T35" s="18">
        <f t="shared" si="12"/>
        <v>189594.454259903</v>
      </c>
      <c r="U35" s="18">
        <f t="shared" si="12"/>
        <v>47202.661440000003</v>
      </c>
      <c r="V35" s="18">
        <f t="shared" si="12"/>
        <v>189594.454259903</v>
      </c>
      <c r="W35" s="18">
        <f t="shared" si="12"/>
        <v>60789.729229457684</v>
      </c>
      <c r="X35" s="18">
        <f t="shared" si="12"/>
        <v>72864</v>
      </c>
      <c r="Y35" s="18">
        <f t="shared" si="12"/>
        <v>3778.6048428000022</v>
      </c>
      <c r="Z35" s="18">
        <f t="shared" si="12"/>
        <v>54.115599991800025</v>
      </c>
      <c r="AA35" s="18">
        <f t="shared" si="12"/>
        <v>69031.279557208181</v>
      </c>
      <c r="AB35" s="18">
        <f t="shared" si="12"/>
        <v>192306.25959685765</v>
      </c>
      <c r="AC35" s="18">
        <f t="shared" si="12"/>
        <v>670.33091842016893</v>
      </c>
      <c r="AD35" s="18">
        <f t="shared" si="12"/>
        <v>6554.0201627860215</v>
      </c>
      <c r="AE35" s="18">
        <f t="shared" si="12"/>
        <v>189594.454259903</v>
      </c>
      <c r="AF35" s="18">
        <f t="shared" si="12"/>
        <v>65174.88684816318</v>
      </c>
      <c r="AG35" s="18"/>
      <c r="AH35" s="18">
        <f t="shared" si="12"/>
        <v>492163.35504446947</v>
      </c>
      <c r="AI35" s="18">
        <f t="shared" si="12"/>
        <v>566298.21472413081</v>
      </c>
      <c r="AJ35" s="18"/>
      <c r="AK35" s="18">
        <f t="shared" si="12"/>
        <v>-438491.79601596296</v>
      </c>
      <c r="AL35" s="18">
        <f t="shared" si="12"/>
        <v>-512626.65569562436</v>
      </c>
    </row>
    <row r="36" spans="1:38" x14ac:dyDescent="0.25">
      <c r="I36"/>
      <c r="Q36" s="116"/>
      <c r="AE36" s="160"/>
      <c r="AF36" s="160"/>
    </row>
    <row r="37" spans="1:38" x14ac:dyDescent="0.25">
      <c r="I37"/>
      <c r="Q37" s="116"/>
    </row>
    <row r="38" spans="1:38" x14ac:dyDescent="0.25">
      <c r="I38"/>
    </row>
    <row r="39" spans="1:38" x14ac:dyDescent="0.25">
      <c r="A39" s="6" t="s">
        <v>10</v>
      </c>
      <c r="D39" s="6" t="s">
        <v>6</v>
      </c>
      <c r="E39"/>
      <c r="G39" s="6" t="s">
        <v>7</v>
      </c>
      <c r="H39"/>
    </row>
    <row r="40" spans="1:38" x14ac:dyDescent="0.25">
      <c r="A40" s="42" t="s">
        <v>2</v>
      </c>
      <c r="B40" s="43">
        <f>E35</f>
        <v>-239088.95920799987</v>
      </c>
      <c r="D40" s="42" t="s">
        <v>11</v>
      </c>
      <c r="E40" s="61">
        <f>B41</f>
        <v>39064.28716066575</v>
      </c>
      <c r="G40" s="42" t="s">
        <v>12</v>
      </c>
      <c r="H40" s="61">
        <f>P35</f>
        <v>113199.14684032708</v>
      </c>
      <c r="J40" s="16" t="s">
        <v>135</v>
      </c>
      <c r="K40" s="161" t="s">
        <v>136</v>
      </c>
    </row>
    <row r="41" spans="1:38" x14ac:dyDescent="0.25">
      <c r="A41" s="42" t="s">
        <v>11</v>
      </c>
      <c r="B41" s="43">
        <f>H35</f>
        <v>39064.28716066575</v>
      </c>
      <c r="D41" s="42" t="s">
        <v>13</v>
      </c>
      <c r="E41" s="61">
        <f>N35+R35+Y35</f>
        <v>127061.368194</v>
      </c>
      <c r="G41" s="42" t="s">
        <v>13</v>
      </c>
      <c r="H41" s="61">
        <f>E41</f>
        <v>127061.368194</v>
      </c>
      <c r="J41" s="161" t="s">
        <v>137</v>
      </c>
      <c r="K41" s="161" t="s">
        <v>138</v>
      </c>
    </row>
    <row r="42" spans="1:38" x14ac:dyDescent="0.25">
      <c r="A42" s="42" t="s">
        <v>3</v>
      </c>
      <c r="B42" s="43">
        <f>F35</f>
        <v>73466.705140937702</v>
      </c>
      <c r="D42" s="71" t="s">
        <v>95</v>
      </c>
      <c r="E42" s="72">
        <f>O35</f>
        <v>2087.5216000000005</v>
      </c>
      <c r="G42" s="71" t="s">
        <v>95</v>
      </c>
      <c r="H42" s="72">
        <f>E42</f>
        <v>2087.5216000000005</v>
      </c>
      <c r="J42" s="161" t="s">
        <v>139</v>
      </c>
      <c r="K42" s="161" t="s">
        <v>140</v>
      </c>
    </row>
    <row r="43" spans="1:38" x14ac:dyDescent="0.25">
      <c r="A43" s="42" t="s">
        <v>20</v>
      </c>
      <c r="B43" s="72">
        <f>G35</f>
        <v>670.33091842016893</v>
      </c>
      <c r="D43" s="71" t="s">
        <v>20</v>
      </c>
      <c r="E43" s="72">
        <f>AC35</f>
        <v>670.33091842016893</v>
      </c>
      <c r="G43" s="71" t="s">
        <v>20</v>
      </c>
      <c r="H43" s="72">
        <f>E43</f>
        <v>670.33091842016893</v>
      </c>
      <c r="J43" s="161" t="s">
        <v>141</v>
      </c>
      <c r="K43" s="161" t="s">
        <v>142</v>
      </c>
    </row>
    <row r="44" spans="1:38" x14ac:dyDescent="0.25">
      <c r="A44" s="42" t="s">
        <v>68</v>
      </c>
      <c r="B44" s="72">
        <f>K35</f>
        <v>179559.19501648261</v>
      </c>
      <c r="D44" s="42" t="s">
        <v>5</v>
      </c>
      <c r="E44" s="61">
        <f>AB35</f>
        <v>192306.25959685765</v>
      </c>
      <c r="G44" s="42" t="s">
        <v>5</v>
      </c>
      <c r="H44" s="61">
        <f t="shared" ref="H44:H47" si="13">E44</f>
        <v>192306.25959685765</v>
      </c>
      <c r="J44" s="161" t="s">
        <v>143</v>
      </c>
      <c r="K44" s="161" t="s">
        <v>144</v>
      </c>
    </row>
    <row r="45" spans="1:38" x14ac:dyDescent="0.25">
      <c r="A45" s="42" t="s">
        <v>22</v>
      </c>
      <c r="B45" s="43">
        <f>SUM(B40:B44)</f>
        <v>53671.559028506366</v>
      </c>
      <c r="D45" s="42" t="s">
        <v>18</v>
      </c>
      <c r="E45" s="72">
        <f>AE35</f>
        <v>189594.454259903</v>
      </c>
      <c r="G45" s="71" t="s">
        <v>18</v>
      </c>
      <c r="H45" s="61">
        <f t="shared" si="13"/>
        <v>189594.454259903</v>
      </c>
      <c r="J45" s="161" t="s">
        <v>5</v>
      </c>
      <c r="K45" s="161" t="s">
        <v>145</v>
      </c>
    </row>
    <row r="46" spans="1:38" x14ac:dyDescent="0.25">
      <c r="D46" s="42" t="s">
        <v>42</v>
      </c>
      <c r="E46" s="73">
        <f>B45-E48</f>
        <v>-431937.77585317695</v>
      </c>
      <c r="G46" s="42" t="s">
        <v>42</v>
      </c>
      <c r="H46" s="76">
        <f>B45-H48</f>
        <v>-506072.63553283829</v>
      </c>
      <c r="J46" s="5" t="s">
        <v>146</v>
      </c>
      <c r="K46" s="161" t="s">
        <v>147</v>
      </c>
    </row>
    <row r="47" spans="1:38" x14ac:dyDescent="0.25">
      <c r="D47" s="42" t="s">
        <v>89</v>
      </c>
      <c r="E47" s="62">
        <f>-MIN(AF35,N35+R35+Y35+AB35)</f>
        <v>-65174.88684816318</v>
      </c>
      <c r="G47" s="42" t="s">
        <v>89</v>
      </c>
      <c r="H47" s="61">
        <f t="shared" si="13"/>
        <v>-65174.88684816318</v>
      </c>
      <c r="I47"/>
      <c r="J47" s="5" t="s">
        <v>148</v>
      </c>
      <c r="K47" s="161" t="s">
        <v>149</v>
      </c>
    </row>
    <row r="48" spans="1:38" x14ac:dyDescent="0.25">
      <c r="D48" s="42" t="s">
        <v>22</v>
      </c>
      <c r="E48" s="62">
        <f>SUM(E40:E45)+E47</f>
        <v>485609.33488168335</v>
      </c>
      <c r="G48" s="42" t="s">
        <v>22</v>
      </c>
      <c r="H48" s="62">
        <f>SUM(H40:H45)+H47</f>
        <v>559744.19456134469</v>
      </c>
      <c r="I48"/>
      <c r="J48" s="5" t="s">
        <v>150</v>
      </c>
      <c r="K48" s="161" t="s">
        <v>151</v>
      </c>
    </row>
    <row r="49" spans="9:11" x14ac:dyDescent="0.25">
      <c r="I49"/>
      <c r="J49" s="125" t="s">
        <v>152</v>
      </c>
      <c r="K49" s="125" t="s">
        <v>153</v>
      </c>
    </row>
    <row r="50" spans="9:11" x14ac:dyDescent="0.25">
      <c r="I50"/>
      <c r="J50" s="125" t="s">
        <v>154</v>
      </c>
      <c r="K50" s="125" t="s">
        <v>155</v>
      </c>
    </row>
    <row r="51" spans="9:11" x14ac:dyDescent="0.25">
      <c r="I51"/>
    </row>
    <row r="52" spans="9:11" x14ac:dyDescent="0.25">
      <c r="I52"/>
    </row>
    <row r="53" spans="9:11" x14ac:dyDescent="0.25">
      <c r="I53"/>
    </row>
    <row r="54" spans="9:11" x14ac:dyDescent="0.25">
      <c r="I54"/>
    </row>
    <row r="55" spans="9:11" x14ac:dyDescent="0.25">
      <c r="I55"/>
    </row>
    <row r="56" spans="9:11" x14ac:dyDescent="0.25">
      <c r="I56"/>
    </row>
    <row r="57" spans="9:11" x14ac:dyDescent="0.25">
      <c r="I57"/>
    </row>
    <row r="58" spans="9:11" x14ac:dyDescent="0.25">
      <c r="I58"/>
    </row>
    <row r="59" spans="9:11" x14ac:dyDescent="0.25">
      <c r="I59"/>
    </row>
    <row r="60" spans="9:11" x14ac:dyDescent="0.25">
      <c r="I60"/>
    </row>
    <row r="61" spans="9:11" x14ac:dyDescent="0.25">
      <c r="I61"/>
    </row>
    <row r="62" spans="9:11" x14ac:dyDescent="0.25">
      <c r="I62"/>
    </row>
  </sheetData>
  <mergeCells count="1">
    <mergeCell ref="A6:A7"/>
  </mergeCells>
  <printOptions gridLines="1"/>
  <pageMargins left="0.7" right="0.7" top="0.75" bottom="0.75" header="0.3" footer="0.3"/>
  <pageSetup paperSize="3" scale="95" fitToWidth="0" orientation="landscape" r:id="rId1"/>
  <ignoredErrors>
    <ignoredError sqref="H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V50"/>
  <sheetViews>
    <sheetView showGridLines="0" zoomScale="85" zoomScaleNormal="85" workbookViewId="0"/>
  </sheetViews>
  <sheetFormatPr defaultRowHeight="15" x14ac:dyDescent="0.25"/>
  <cols>
    <col min="1" max="1" width="19.42578125" customWidth="1"/>
    <col min="2" max="2" width="16.28515625" bestFit="1" customWidth="1"/>
    <col min="3" max="3" width="13.7109375" customWidth="1"/>
    <col min="4" max="4" width="20" bestFit="1" customWidth="1"/>
    <col min="5" max="5" width="20" customWidth="1"/>
    <col min="6" max="6" width="15" customWidth="1"/>
    <col min="7" max="7" width="23.140625" style="1" customWidth="1"/>
    <col min="8" max="8" width="13.140625" style="1" customWidth="1"/>
    <col min="9" max="9" width="18.5703125" style="1" customWidth="1"/>
    <col min="10" max="10" width="17" style="1" customWidth="1"/>
    <col min="11" max="11" width="19.85546875" style="7" customWidth="1"/>
    <col min="12" max="12" width="19.85546875" style="104" customWidth="1"/>
    <col min="13" max="13" width="22.85546875" style="7" customWidth="1"/>
    <col min="14" max="14" width="21.42578125" style="7" bestFit="1" customWidth="1"/>
    <col min="15" max="16" width="22.7109375" style="7" customWidth="1"/>
    <col min="17" max="17" width="17.42578125" customWidth="1"/>
    <col min="18" max="20" width="19.85546875" customWidth="1"/>
    <col min="21" max="22" width="22.7109375" customWidth="1"/>
  </cols>
  <sheetData>
    <row r="1" spans="1:22" s="161" customFormat="1" x14ac:dyDescent="0.25">
      <c r="A1" s="6" t="s">
        <v>108</v>
      </c>
      <c r="B1" s="162">
        <v>43262</v>
      </c>
      <c r="G1" s="127"/>
      <c r="H1" s="127"/>
      <c r="I1" s="127"/>
      <c r="J1" s="127"/>
      <c r="K1" s="160"/>
      <c r="L1" s="160"/>
      <c r="M1" s="160"/>
      <c r="N1" s="160"/>
      <c r="O1" s="160"/>
      <c r="P1" s="160"/>
    </row>
    <row r="2" spans="1:22" s="161" customFormat="1" x14ac:dyDescent="0.25">
      <c r="A2" s="6" t="s">
        <v>109</v>
      </c>
      <c r="B2" s="6" t="s">
        <v>110</v>
      </c>
      <c r="G2" s="127"/>
      <c r="H2" s="127"/>
      <c r="I2" s="127"/>
      <c r="J2" s="127"/>
      <c r="K2" s="160"/>
      <c r="L2" s="160"/>
      <c r="M2" s="160"/>
      <c r="N2" s="160"/>
      <c r="O2" s="160"/>
      <c r="P2" s="160"/>
    </row>
    <row r="3" spans="1:22" x14ac:dyDescent="0.25">
      <c r="A3" t="s">
        <v>26</v>
      </c>
      <c r="J3"/>
      <c r="K3"/>
      <c r="L3" s="126"/>
    </row>
    <row r="4" spans="1:22" x14ac:dyDescent="0.25">
      <c r="A4" t="s">
        <v>17</v>
      </c>
      <c r="J4"/>
      <c r="K4"/>
      <c r="L4" s="126"/>
      <c r="M4"/>
      <c r="N4"/>
      <c r="O4"/>
      <c r="P4" s="52"/>
    </row>
    <row r="5" spans="1:22" s="12" customFormat="1" ht="40.5" customHeight="1" x14ac:dyDescent="0.25">
      <c r="C5" s="47"/>
      <c r="D5" s="47"/>
      <c r="E5" s="13"/>
      <c r="F5" s="13"/>
      <c r="G5" s="132"/>
      <c r="L5" s="133"/>
      <c r="M5" s="133"/>
      <c r="N5" s="131"/>
      <c r="O5" s="135"/>
      <c r="P5" s="10"/>
    </row>
    <row r="6" spans="1:22" s="12" customFormat="1" ht="30" x14ac:dyDescent="0.25">
      <c r="A6" s="185" t="s">
        <v>1</v>
      </c>
      <c r="B6" s="163" t="s">
        <v>124</v>
      </c>
      <c r="C6" s="163" t="s">
        <v>129</v>
      </c>
      <c r="D6" s="163" t="s">
        <v>98</v>
      </c>
      <c r="E6" s="164" t="s">
        <v>11</v>
      </c>
      <c r="F6" s="130"/>
      <c r="G6" s="163" t="s">
        <v>118</v>
      </c>
      <c r="H6" s="163" t="s">
        <v>93</v>
      </c>
      <c r="I6" s="163" t="s">
        <v>56</v>
      </c>
      <c r="J6" s="130"/>
      <c r="K6" s="166" t="s">
        <v>12</v>
      </c>
      <c r="L6" s="166" t="s">
        <v>99</v>
      </c>
      <c r="M6" s="166" t="s">
        <v>82</v>
      </c>
      <c r="N6" s="166" t="s">
        <v>44</v>
      </c>
      <c r="O6" s="166" t="s">
        <v>35</v>
      </c>
      <c r="P6" s="130"/>
      <c r="Q6" s="166" t="s">
        <v>6</v>
      </c>
      <c r="R6" s="166" t="s">
        <v>7</v>
      </c>
      <c r="S6" s="130"/>
      <c r="T6" s="166" t="s">
        <v>36</v>
      </c>
      <c r="U6" s="166" t="s">
        <v>37</v>
      </c>
      <c r="V6" s="138"/>
    </row>
    <row r="7" spans="1:22" s="12" customFormat="1" x14ac:dyDescent="0.25">
      <c r="A7" s="185"/>
      <c r="B7" s="164" t="s">
        <v>8</v>
      </c>
      <c r="C7" s="164" t="s">
        <v>8</v>
      </c>
      <c r="D7" s="164" t="s">
        <v>8</v>
      </c>
      <c r="E7" s="176" t="s">
        <v>8</v>
      </c>
      <c r="F7" s="130"/>
      <c r="G7" s="164" t="s">
        <v>8</v>
      </c>
      <c r="H7" s="164" t="s">
        <v>8</v>
      </c>
      <c r="I7" s="164" t="s">
        <v>8</v>
      </c>
      <c r="J7" s="130"/>
      <c r="K7" s="164" t="s">
        <v>8</v>
      </c>
      <c r="L7" s="164" t="s">
        <v>97</v>
      </c>
      <c r="M7" s="164" t="s">
        <v>8</v>
      </c>
      <c r="N7" s="164" t="s">
        <v>8</v>
      </c>
      <c r="O7" s="164" t="s">
        <v>8</v>
      </c>
      <c r="P7" s="130"/>
      <c r="Q7" s="174" t="s">
        <v>8</v>
      </c>
      <c r="R7" s="174" t="s">
        <v>8</v>
      </c>
      <c r="S7" s="130"/>
      <c r="T7" s="174" t="s">
        <v>8</v>
      </c>
      <c r="U7" s="174" t="s">
        <v>8</v>
      </c>
      <c r="V7" s="138"/>
    </row>
    <row r="8" spans="1:22" x14ac:dyDescent="0.25">
      <c r="A8" s="38">
        <v>1988</v>
      </c>
      <c r="B8" s="146">
        <f>'[1]Capped Flow'!H7</f>
        <v>1084501.4399999995</v>
      </c>
      <c r="C8" s="146">
        <f>'[1]Capped Flow'!I7</f>
        <v>1021493.8800000001</v>
      </c>
      <c r="D8" s="146">
        <f t="shared" ref="D8" si="0">C8-B8</f>
        <v>-63007.559999999357</v>
      </c>
      <c r="E8" s="146">
        <f>'[2]GW Depletions'!G15</f>
        <v>67603.671681703403</v>
      </c>
      <c r="G8" s="72">
        <f t="shared" ref="G8:G32" si="1">SUM(D8:E8)</f>
        <v>4596.1116817040456</v>
      </c>
      <c r="H8" s="154">
        <f>'[3]Req Inflow'!E7</f>
        <v>143877.08576906571</v>
      </c>
      <c r="I8" s="72">
        <f t="shared" ref="I8:I32" si="2">H8+G8</f>
        <v>148473.19745076977</v>
      </c>
      <c r="K8" s="72">
        <f>MAX([2]GWCU!L12*0.7,E8)</f>
        <v>96514.885961666645</v>
      </c>
      <c r="L8" s="72">
        <f>'[2]M&amp;I COHYST Summary'!F8</f>
        <v>3696.1499999999996</v>
      </c>
      <c r="M8" s="72">
        <f>IF('[3]DS Demand'!G7&gt;0,'[3]DS Demand'!G7,0)</f>
        <v>144243.79202533787</v>
      </c>
      <c r="N8" s="43">
        <f>'[4]Instream Applied Grand Island'!B7</f>
        <v>144243.79202533787</v>
      </c>
      <c r="O8" s="72">
        <f>MAX(M8,N8)</f>
        <v>144243.79202533787</v>
      </c>
      <c r="P8" s="19"/>
      <c r="Q8" s="73">
        <f t="shared" ref="Q8:Q32" si="3">E8+O8+L8</f>
        <v>215543.61370704128</v>
      </c>
      <c r="R8" s="73">
        <f>K8+O8+L8</f>
        <v>244454.82798700451</v>
      </c>
      <c r="T8" s="151">
        <f t="shared" ref="T8:T32" si="4">$I8-Q8</f>
        <v>-67070.416256271506</v>
      </c>
      <c r="U8" s="151">
        <f t="shared" ref="U8:U32" si="5">$I8-R8</f>
        <v>-95981.630536234734</v>
      </c>
    </row>
    <row r="9" spans="1:22" x14ac:dyDescent="0.25">
      <c r="A9" s="38">
        <v>1989</v>
      </c>
      <c r="B9" s="146">
        <f>'[1]Capped Flow'!H8</f>
        <v>613000.08000000007</v>
      </c>
      <c r="C9" s="146">
        <f>'[1]Capped Flow'!I8</f>
        <v>624501.90000000014</v>
      </c>
      <c r="D9" s="146">
        <f t="shared" ref="D9:D32" si="6">C9-B9</f>
        <v>11501.820000000065</v>
      </c>
      <c r="E9" s="146">
        <f>'[2]GW Depletions'!G16</f>
        <v>74094.559616965096</v>
      </c>
      <c r="G9" s="78">
        <f t="shared" si="1"/>
        <v>85596.379616965161</v>
      </c>
      <c r="H9" s="154">
        <f>'[3]Req Inflow'!E8</f>
        <v>142883.6887377341</v>
      </c>
      <c r="I9" s="72">
        <f t="shared" si="2"/>
        <v>228480.06835469927</v>
      </c>
      <c r="K9" s="72">
        <f>MAX([2]GWCU!L13*0.7,E9)</f>
        <v>74094.559616965096</v>
      </c>
      <c r="L9" s="72">
        <f>'[2]M&amp;I COHYST Summary'!F9</f>
        <v>3731.8500000000004</v>
      </c>
      <c r="M9" s="72">
        <f>IF('[3]DS Demand'!G8&gt;0,'[3]DS Demand'!G8,0)</f>
        <v>151673.07580188871</v>
      </c>
      <c r="N9" s="43">
        <f>'[4]Instream Applied Grand Island'!B8</f>
        <v>151673.07580188871</v>
      </c>
      <c r="O9" s="72">
        <f t="shared" ref="O9:O32" si="7">MAX(M9,N9)</f>
        <v>151673.07580188871</v>
      </c>
      <c r="P9" s="19"/>
      <c r="Q9" s="73">
        <f t="shared" si="3"/>
        <v>229499.48541885382</v>
      </c>
      <c r="R9" s="73">
        <f t="shared" ref="R9:R32" si="8">K9+O9+L9</f>
        <v>229499.48541885382</v>
      </c>
      <c r="T9" s="151">
        <f t="shared" si="4"/>
        <v>-1019.4170641545497</v>
      </c>
      <c r="U9" s="151">
        <f t="shared" si="5"/>
        <v>-1019.4170641545497</v>
      </c>
    </row>
    <row r="10" spans="1:22" x14ac:dyDescent="0.25">
      <c r="A10" s="38">
        <v>1990</v>
      </c>
      <c r="B10" s="146">
        <f>'[1]Capped Flow'!H9</f>
        <v>640151.82000000007</v>
      </c>
      <c r="C10" s="146">
        <f>'[1]Capped Flow'!I9</f>
        <v>801963.3600000001</v>
      </c>
      <c r="D10" s="146">
        <f t="shared" si="6"/>
        <v>161811.54000000004</v>
      </c>
      <c r="E10" s="146">
        <f>'[2]GW Depletions'!G17</f>
        <v>69425.906513314971</v>
      </c>
      <c r="G10" s="78">
        <f t="shared" si="1"/>
        <v>231237.44651331502</v>
      </c>
      <c r="H10" s="154">
        <f>'[3]Req Inflow'!E9</f>
        <v>92572.614694462667</v>
      </c>
      <c r="I10" s="72">
        <f t="shared" si="2"/>
        <v>323810.0612077777</v>
      </c>
      <c r="K10" s="72">
        <f>MAX([2]GWCU!L14*0.7,E10)</f>
        <v>92026.905320000078</v>
      </c>
      <c r="L10" s="72">
        <f>'[2]M&amp;I COHYST Summary'!F10</f>
        <v>3767.9200000000005</v>
      </c>
      <c r="M10" s="72">
        <f>IF('[3]DS Demand'!G9&gt;0,'[3]DS Demand'!G9,0)</f>
        <v>107692.81382481958</v>
      </c>
      <c r="N10" s="43">
        <f>'[4]Instream Applied Grand Island'!B9</f>
        <v>107692.81382481958</v>
      </c>
      <c r="O10" s="72">
        <f t="shared" si="7"/>
        <v>107692.81382481958</v>
      </c>
      <c r="P10" s="19"/>
      <c r="Q10" s="73">
        <f t="shared" si="3"/>
        <v>180886.64033813457</v>
      </c>
      <c r="R10" s="73">
        <f t="shared" si="8"/>
        <v>203487.63914481967</v>
      </c>
      <c r="T10" s="151">
        <f t="shared" si="4"/>
        <v>142923.42086964313</v>
      </c>
      <c r="U10" s="151">
        <f t="shared" si="5"/>
        <v>120322.42206295804</v>
      </c>
    </row>
    <row r="11" spans="1:22" x14ac:dyDescent="0.25">
      <c r="A11" s="38">
        <v>1991</v>
      </c>
      <c r="B11" s="146">
        <f>'[1]Capped Flow'!H10</f>
        <v>493136.81999999983</v>
      </c>
      <c r="C11" s="146">
        <f>'[1]Capped Flow'!I10</f>
        <v>468079.92000000016</v>
      </c>
      <c r="D11" s="146">
        <f t="shared" si="6"/>
        <v>-25056.899999999674</v>
      </c>
      <c r="E11" s="146">
        <f>'[2]GW Depletions'!G18</f>
        <v>66539.710486799828</v>
      </c>
      <c r="G11" s="78">
        <f t="shared" si="1"/>
        <v>41482.810486800154</v>
      </c>
      <c r="H11" s="154">
        <f>'[3]Req Inflow'!E10</f>
        <v>47679.540316002749</v>
      </c>
      <c r="I11" s="72">
        <f t="shared" si="2"/>
        <v>89162.350802802903</v>
      </c>
      <c r="K11" s="72">
        <f>MAX([2]GWCU!L15*0.7,E11)</f>
        <v>103328.40867416668</v>
      </c>
      <c r="L11" s="72">
        <f>'[2]M&amp;I COHYST Summary'!F11</f>
        <v>3963.58</v>
      </c>
      <c r="M11" s="72">
        <f>IF('[3]DS Demand'!G10&gt;0,'[3]DS Demand'!G10,0)</f>
        <v>49230.894877023296</v>
      </c>
      <c r="N11" s="43">
        <f>'[4]Instream Applied Grand Island'!B10</f>
        <v>49230.894877023296</v>
      </c>
      <c r="O11" s="72">
        <f t="shared" si="7"/>
        <v>49230.894877023296</v>
      </c>
      <c r="P11" s="19"/>
      <c r="Q11" s="73">
        <f t="shared" si="3"/>
        <v>119734.18536382313</v>
      </c>
      <c r="R11" s="73">
        <f t="shared" si="8"/>
        <v>156522.88355118997</v>
      </c>
      <c r="T11" s="151">
        <f t="shared" si="4"/>
        <v>-30571.834561020223</v>
      </c>
      <c r="U11" s="151">
        <f t="shared" si="5"/>
        <v>-67360.532748387064</v>
      </c>
    </row>
    <row r="12" spans="1:22" x14ac:dyDescent="0.25">
      <c r="A12" s="38">
        <v>1992</v>
      </c>
      <c r="B12" s="146">
        <f>'[1]Capped Flow'!H11</f>
        <v>562506.12000000034</v>
      </c>
      <c r="C12" s="146">
        <f>'[1]Capped Flow'!I11</f>
        <v>555259.31999999995</v>
      </c>
      <c r="D12" s="146">
        <f t="shared" si="6"/>
        <v>-7246.8000000003958</v>
      </c>
      <c r="E12" s="146">
        <f>'[2]GW Depletions'!G19</f>
        <v>66528.520144283742</v>
      </c>
      <c r="G12" s="78">
        <f t="shared" si="1"/>
        <v>59281.720144283347</v>
      </c>
      <c r="H12" s="154">
        <f>'[3]Req Inflow'!E11</f>
        <v>176833.12615478935</v>
      </c>
      <c r="I12" s="72">
        <f t="shared" si="2"/>
        <v>236114.8462990727</v>
      </c>
      <c r="K12" s="72">
        <f>MAX([2]GWCU!L16*0.7,E12)</f>
        <v>80184.895624166777</v>
      </c>
      <c r="L12" s="72">
        <f>'[2]M&amp;I COHYST Summary'!F12</f>
        <v>4176.28</v>
      </c>
      <c r="M12" s="72">
        <f>IF('[3]DS Demand'!G11&gt;0,'[3]DS Demand'!G11,0)</f>
        <v>184262.74833510618</v>
      </c>
      <c r="N12" s="43">
        <f>'[4]Instream Applied Grand Island'!B11</f>
        <v>184262.74833510618</v>
      </c>
      <c r="O12" s="72">
        <f t="shared" si="7"/>
        <v>184262.74833510618</v>
      </c>
      <c r="P12" s="19"/>
      <c r="Q12" s="73">
        <f t="shared" si="3"/>
        <v>254967.54847938992</v>
      </c>
      <c r="R12" s="73">
        <f t="shared" si="8"/>
        <v>268623.92395927297</v>
      </c>
      <c r="T12" s="151">
        <f t="shared" si="4"/>
        <v>-18852.702180317225</v>
      </c>
      <c r="U12" s="151">
        <f t="shared" si="5"/>
        <v>-32509.077660200273</v>
      </c>
    </row>
    <row r="13" spans="1:22" x14ac:dyDescent="0.25">
      <c r="A13" s="38">
        <v>1993</v>
      </c>
      <c r="B13" s="146">
        <f>'[1]Capped Flow'!H12</f>
        <v>739476.53999999992</v>
      </c>
      <c r="C13" s="146">
        <f>'[1]Capped Flow'!I12</f>
        <v>731477.33999999985</v>
      </c>
      <c r="D13" s="146">
        <f t="shared" si="6"/>
        <v>-7999.2000000000698</v>
      </c>
      <c r="E13" s="146">
        <f>'[2]GW Depletions'!G20</f>
        <v>68550.5174367539</v>
      </c>
      <c r="G13" s="78">
        <f t="shared" si="1"/>
        <v>60551.31743675383</v>
      </c>
      <c r="H13" s="154">
        <f>'[3]Req Inflow'!E12</f>
        <v>307846.29142108595</v>
      </c>
      <c r="I13" s="72">
        <f t="shared" si="2"/>
        <v>368397.60885783978</v>
      </c>
      <c r="K13" s="72">
        <f>MAX([2]GWCU!L17*0.7,E13)</f>
        <v>68550.5174367539</v>
      </c>
      <c r="L13" s="72">
        <f>'[2]M&amp;I COHYST Summary'!F13</f>
        <v>4250.04</v>
      </c>
      <c r="M13" s="72">
        <f>IF('[3]DS Demand'!G12&gt;0,'[3]DS Demand'!G12,0)</f>
        <v>319759.58876584552</v>
      </c>
      <c r="N13" s="43">
        <f>'[4]Instream Applied Grand Island'!B12</f>
        <v>319759.58876584552</v>
      </c>
      <c r="O13" s="72">
        <f t="shared" si="7"/>
        <v>319759.58876584552</v>
      </c>
      <c r="P13" s="19"/>
      <c r="Q13" s="73">
        <f t="shared" si="3"/>
        <v>392560.1462025994</v>
      </c>
      <c r="R13" s="73">
        <f t="shared" si="8"/>
        <v>392560.1462025994</v>
      </c>
      <c r="T13" s="151">
        <f t="shared" si="4"/>
        <v>-24162.537344759621</v>
      </c>
      <c r="U13" s="151">
        <f t="shared" si="5"/>
        <v>-24162.537344759621</v>
      </c>
    </row>
    <row r="14" spans="1:22" x14ac:dyDescent="0.25">
      <c r="A14" s="38">
        <v>1994</v>
      </c>
      <c r="B14" s="146">
        <f>'[1]Capped Flow'!H13</f>
        <v>843973.02</v>
      </c>
      <c r="C14" s="146">
        <f>'[1]Capped Flow'!I13</f>
        <v>902672.09999999986</v>
      </c>
      <c r="D14" s="146">
        <f t="shared" si="6"/>
        <v>58699.079999999842</v>
      </c>
      <c r="E14" s="146">
        <f>'[2]GW Depletions'!G21</f>
        <v>94731.658516988056</v>
      </c>
      <c r="G14" s="78">
        <f t="shared" si="1"/>
        <v>153430.73851698788</v>
      </c>
      <c r="H14" s="154">
        <f>'[3]Req Inflow'!E13</f>
        <v>182866.09787298838</v>
      </c>
      <c r="I14" s="72">
        <f t="shared" si="2"/>
        <v>336296.83638997626</v>
      </c>
      <c r="K14" s="72">
        <f>MAX([2]GWCU!L18*0.7,E14)</f>
        <v>94731.658516988056</v>
      </c>
      <c r="L14" s="72">
        <f>'[2]M&amp;I COHYST Summary'!F14</f>
        <v>4296.99</v>
      </c>
      <c r="M14" s="72">
        <f>IF('[3]DS Demand'!G13&gt;0,'[3]DS Demand'!G13,0)</f>
        <v>200575.34739803782</v>
      </c>
      <c r="N14" s="43">
        <f>'[4]Instream Applied Grand Island'!B13</f>
        <v>200575.34739803782</v>
      </c>
      <c r="O14" s="72">
        <f t="shared" si="7"/>
        <v>200575.34739803782</v>
      </c>
      <c r="P14" s="19"/>
      <c r="Q14" s="73">
        <f t="shared" si="3"/>
        <v>299603.99591502588</v>
      </c>
      <c r="R14" s="73">
        <f t="shared" si="8"/>
        <v>299603.99591502588</v>
      </c>
      <c r="T14" s="151">
        <f t="shared" si="4"/>
        <v>36692.840474950382</v>
      </c>
      <c r="U14" s="151">
        <f t="shared" si="5"/>
        <v>36692.840474950382</v>
      </c>
    </row>
    <row r="15" spans="1:22" x14ac:dyDescent="0.25">
      <c r="A15" s="38">
        <v>1995</v>
      </c>
      <c r="B15" s="146">
        <f>'[1]Capped Flow'!H14</f>
        <v>629853.83999999985</v>
      </c>
      <c r="C15" s="146">
        <f>'[1]Capped Flow'!I14</f>
        <v>688632.12000000011</v>
      </c>
      <c r="D15" s="146">
        <f t="shared" si="6"/>
        <v>58778.280000000261</v>
      </c>
      <c r="E15" s="146">
        <f>'[2]GW Depletions'!G22</f>
        <v>83580.906050275487</v>
      </c>
      <c r="G15" s="78">
        <f t="shared" si="1"/>
        <v>142359.18605027575</v>
      </c>
      <c r="H15" s="154">
        <f>'[3]Req Inflow'!E14</f>
        <v>134327.45072020206</v>
      </c>
      <c r="I15" s="72">
        <f t="shared" si="2"/>
        <v>276686.63677047781</v>
      </c>
      <c r="K15" s="72">
        <f>MAX([2]GWCU!L19*0.7,E15)</f>
        <v>84289.817535000067</v>
      </c>
      <c r="L15" s="72">
        <f>'[2]M&amp;I COHYST Summary'!F15</f>
        <v>4342.71</v>
      </c>
      <c r="M15" s="72">
        <f>IF('[3]DS Demand'!G14&gt;0,'[3]DS Demand'!G14,0)</f>
        <v>147308.96309483331</v>
      </c>
      <c r="N15" s="43">
        <f>'[4]Instream Applied Grand Island'!B14</f>
        <v>147308.96309483331</v>
      </c>
      <c r="O15" s="72">
        <f t="shared" si="7"/>
        <v>147308.96309483331</v>
      </c>
      <c r="P15" s="19"/>
      <c r="Q15" s="73">
        <f t="shared" si="3"/>
        <v>235232.57914510879</v>
      </c>
      <c r="R15" s="73">
        <f t="shared" si="8"/>
        <v>235941.49062983337</v>
      </c>
      <c r="T15" s="151">
        <f t="shared" si="4"/>
        <v>41454.057625369023</v>
      </c>
      <c r="U15" s="151">
        <f t="shared" si="5"/>
        <v>40745.146140644443</v>
      </c>
    </row>
    <row r="16" spans="1:22" x14ac:dyDescent="0.25">
      <c r="A16" s="38">
        <v>1996</v>
      </c>
      <c r="B16" s="146">
        <f>'[1]Capped Flow'!H15</f>
        <v>966251.88000000024</v>
      </c>
      <c r="C16" s="146">
        <f>'[1]Capped Flow'!I15</f>
        <v>1003580.82</v>
      </c>
      <c r="D16" s="146">
        <f t="shared" si="6"/>
        <v>37328.939999999711</v>
      </c>
      <c r="E16" s="146">
        <f>'[2]GW Depletions'!G23</f>
        <v>83357.424325068874</v>
      </c>
      <c r="G16" s="78">
        <f t="shared" si="1"/>
        <v>120686.36432506859</v>
      </c>
      <c r="H16" s="154">
        <f>'[3]Req Inflow'!E15</f>
        <v>288634.10440510081</v>
      </c>
      <c r="I16" s="72">
        <f t="shared" si="2"/>
        <v>409320.46873016941</v>
      </c>
      <c r="K16" s="72">
        <f>MAX([2]GWCU!L20*0.7,E16)</f>
        <v>83357.424325068874</v>
      </c>
      <c r="L16" s="72">
        <f>'[2]M&amp;I COHYST Summary'!F16</f>
        <v>4390.880000000001</v>
      </c>
      <c r="M16" s="72">
        <f>IF('[3]DS Demand'!G15&gt;0,'[3]DS Demand'!G15,0)</f>
        <v>311476.83025290089</v>
      </c>
      <c r="N16" s="43">
        <f>'[4]Instream Applied Grand Island'!B15</f>
        <v>311476.83025290089</v>
      </c>
      <c r="O16" s="72">
        <f t="shared" si="7"/>
        <v>311476.83025290089</v>
      </c>
      <c r="P16" s="19"/>
      <c r="Q16" s="73">
        <f t="shared" si="3"/>
        <v>399225.13457796979</v>
      </c>
      <c r="R16" s="73">
        <f t="shared" si="8"/>
        <v>399225.13457796979</v>
      </c>
      <c r="T16" s="151">
        <f t="shared" si="4"/>
        <v>10095.334152199619</v>
      </c>
      <c r="U16" s="151">
        <f t="shared" si="5"/>
        <v>10095.334152199619</v>
      </c>
    </row>
    <row r="17" spans="1:21" x14ac:dyDescent="0.25">
      <c r="A17" s="38">
        <v>1997</v>
      </c>
      <c r="B17" s="146">
        <f>'[1]Capped Flow'!H16</f>
        <v>1190330.46</v>
      </c>
      <c r="C17" s="146">
        <f>'[1]Capped Flow'!I16</f>
        <v>1242192.6000000001</v>
      </c>
      <c r="D17" s="146">
        <f t="shared" si="6"/>
        <v>51862.14000000013</v>
      </c>
      <c r="E17" s="146">
        <f>'[2]GW Depletions'!G24</f>
        <v>78610.129641873282</v>
      </c>
      <c r="G17" s="78">
        <f t="shared" si="1"/>
        <v>130472.26964187341</v>
      </c>
      <c r="H17" s="154">
        <f>'[3]Req Inflow'!E16</f>
        <v>166466.40344223179</v>
      </c>
      <c r="I17" s="72">
        <f t="shared" si="2"/>
        <v>296938.67308410519</v>
      </c>
      <c r="K17" s="72">
        <f>MAX([2]GWCU!L21*0.7,E17)</f>
        <v>87346.525501666692</v>
      </c>
      <c r="L17" s="72">
        <f>'[2]M&amp;I COHYST Summary'!F17</f>
        <v>4434.2900000000009</v>
      </c>
      <c r="M17" s="72">
        <f>IF('[3]DS Demand'!G16&gt;0,'[3]DS Demand'!G16,0)</f>
        <v>177039.57868429809</v>
      </c>
      <c r="N17" s="43">
        <f>'[4]Instream Applied Grand Island'!B16</f>
        <v>177039.57868429809</v>
      </c>
      <c r="O17" s="72">
        <f t="shared" si="7"/>
        <v>177039.57868429809</v>
      </c>
      <c r="P17" s="19"/>
      <c r="Q17" s="73">
        <f t="shared" si="3"/>
        <v>260083.99832617139</v>
      </c>
      <c r="R17" s="73">
        <f t="shared" si="8"/>
        <v>268820.39418596477</v>
      </c>
      <c r="T17" s="151">
        <f t="shared" si="4"/>
        <v>36854.674757933797</v>
      </c>
      <c r="U17" s="151">
        <f t="shared" si="5"/>
        <v>28118.278898140416</v>
      </c>
    </row>
    <row r="18" spans="1:21" x14ac:dyDescent="0.25">
      <c r="A18" s="38">
        <v>1998</v>
      </c>
      <c r="B18" s="146">
        <f>'[1]Capped Flow'!H17</f>
        <v>1698523.1999999997</v>
      </c>
      <c r="C18" s="146">
        <f>'[1]Capped Flow'!I17</f>
        <v>1786593.6000000006</v>
      </c>
      <c r="D18" s="146">
        <f t="shared" si="6"/>
        <v>88070.400000000838</v>
      </c>
      <c r="E18" s="146">
        <f>'[2]GW Depletions'!G25</f>
        <v>82400.531989210285</v>
      </c>
      <c r="G18" s="78">
        <f t="shared" si="1"/>
        <v>170470.93198921112</v>
      </c>
      <c r="H18" s="154">
        <f>'[3]Req Inflow'!E17</f>
        <v>203724.82341776087</v>
      </c>
      <c r="I18" s="72">
        <f t="shared" si="2"/>
        <v>374195.75540697202</v>
      </c>
      <c r="K18" s="72">
        <f>MAX([2]GWCU!L22*0.7,E18)</f>
        <v>82400.531989210285</v>
      </c>
      <c r="L18" s="72">
        <f>'[2]M&amp;I COHYST Summary'!F18</f>
        <v>4476.0700000000006</v>
      </c>
      <c r="M18" s="72">
        <f>IF('[3]DS Demand'!G17&gt;0,'[3]DS Demand'!G17,0)</f>
        <v>218727.18594979096</v>
      </c>
      <c r="N18" s="43">
        <f>'[4]Instream Applied Grand Island'!B17</f>
        <v>218727.18594979096</v>
      </c>
      <c r="O18" s="72">
        <f t="shared" si="7"/>
        <v>218727.18594979096</v>
      </c>
      <c r="P18" s="19"/>
      <c r="Q18" s="73">
        <f t="shared" si="3"/>
        <v>305603.78793900128</v>
      </c>
      <c r="R18" s="73">
        <f t="shared" si="8"/>
        <v>305603.78793900128</v>
      </c>
      <c r="T18" s="151">
        <f t="shared" si="4"/>
        <v>68591.967467970739</v>
      </c>
      <c r="U18" s="151">
        <f t="shared" si="5"/>
        <v>68591.967467970739</v>
      </c>
    </row>
    <row r="19" spans="1:21" x14ac:dyDescent="0.25">
      <c r="A19" s="38">
        <v>1999</v>
      </c>
      <c r="B19" s="146">
        <f>'[1]Capped Flow'!H18</f>
        <v>1147905</v>
      </c>
      <c r="C19" s="146">
        <f>'[1]Capped Flow'!I18</f>
        <v>1310106.6000000003</v>
      </c>
      <c r="D19" s="146">
        <f t="shared" si="6"/>
        <v>162201.60000000033</v>
      </c>
      <c r="E19" s="146">
        <f>'[2]GW Depletions'!G26</f>
        <v>78569.614738292003</v>
      </c>
      <c r="G19" s="78">
        <f t="shared" si="1"/>
        <v>240771.21473829233</v>
      </c>
      <c r="H19" s="154">
        <f>'[3]Req Inflow'!E18</f>
        <v>240184.18256030363</v>
      </c>
      <c r="I19" s="72">
        <f t="shared" si="2"/>
        <v>480955.39729859598</v>
      </c>
      <c r="K19" s="72">
        <f>MAX([2]GWCU!L23*0.7,E19)</f>
        <v>78569.614738292003</v>
      </c>
      <c r="L19" s="72">
        <f>'[2]M&amp;I COHYST Summary'!F19</f>
        <v>4516.6499999999996</v>
      </c>
      <c r="M19" s="72">
        <f>IF('[3]DS Demand'!G18&gt;0,'[3]DS Demand'!G18,0)</f>
        <v>270254.33042893698</v>
      </c>
      <c r="N19" s="43">
        <f>'[4]Instream Applied Grand Island'!B18</f>
        <v>270254.33042893698</v>
      </c>
      <c r="O19" s="72">
        <f t="shared" si="7"/>
        <v>270254.33042893698</v>
      </c>
      <c r="P19" s="19"/>
      <c r="Q19" s="73">
        <f t="shared" si="3"/>
        <v>353340.59516722901</v>
      </c>
      <c r="R19" s="73">
        <f t="shared" si="8"/>
        <v>353340.59516722901</v>
      </c>
      <c r="T19" s="151">
        <f t="shared" si="4"/>
        <v>127614.80213136697</v>
      </c>
      <c r="U19" s="151">
        <f t="shared" si="5"/>
        <v>127614.80213136697</v>
      </c>
    </row>
    <row r="20" spans="1:21" x14ac:dyDescent="0.25">
      <c r="A20" s="38">
        <v>2000</v>
      </c>
      <c r="B20" s="146">
        <f>'[1]Capped Flow'!H19</f>
        <v>1568629.2600000002</v>
      </c>
      <c r="C20" s="146">
        <f>'[1]Capped Flow'!I19</f>
        <v>1527094.7999999998</v>
      </c>
      <c r="D20" s="146">
        <f t="shared" si="6"/>
        <v>-41534.460000000428</v>
      </c>
      <c r="E20" s="146">
        <f>'[2]GW Depletions'!G27</f>
        <v>77042.303244949493</v>
      </c>
      <c r="G20" s="78">
        <f t="shared" si="1"/>
        <v>35507.843244949065</v>
      </c>
      <c r="H20" s="154">
        <f>'[3]Req Inflow'!E19</f>
        <v>69006.990347716186</v>
      </c>
      <c r="I20" s="72">
        <f t="shared" si="2"/>
        <v>104514.83359266525</v>
      </c>
      <c r="K20" s="72">
        <f>MAX([2]GWCU!L24*0.7,E20)</f>
        <v>79190.300338333182</v>
      </c>
      <c r="L20" s="72">
        <f>'[2]M&amp;I COHYST Summary'!F20</f>
        <v>4716.92</v>
      </c>
      <c r="M20" s="72">
        <f>IF('[3]DS Demand'!G19&gt;0,'[3]DS Demand'!G19,0)</f>
        <v>70239.410994841717</v>
      </c>
      <c r="N20" s="43">
        <f>'[4]Instream Applied Grand Island'!B19</f>
        <v>70239.410994841717</v>
      </c>
      <c r="O20" s="72">
        <f t="shared" si="7"/>
        <v>70239.410994841717</v>
      </c>
      <c r="P20" s="19"/>
      <c r="Q20" s="73">
        <f t="shared" si="3"/>
        <v>151998.63423979122</v>
      </c>
      <c r="R20" s="73">
        <f t="shared" si="8"/>
        <v>154146.63133317491</v>
      </c>
      <c r="T20" s="151">
        <f t="shared" si="4"/>
        <v>-47483.800647125972</v>
      </c>
      <c r="U20" s="151">
        <f t="shared" si="5"/>
        <v>-49631.797740509661</v>
      </c>
    </row>
    <row r="21" spans="1:21" x14ac:dyDescent="0.25">
      <c r="A21" s="38">
        <v>2001</v>
      </c>
      <c r="B21" s="146">
        <f>'[1]Capped Flow'!H20</f>
        <v>659779.55999999994</v>
      </c>
      <c r="C21" s="146">
        <f>'[1]Capped Flow'!I20</f>
        <v>735853.14000000013</v>
      </c>
      <c r="D21" s="146">
        <f t="shared" si="6"/>
        <v>76073.580000000191</v>
      </c>
      <c r="E21" s="146">
        <f>'[2]GW Depletions'!G28</f>
        <v>81235.763650137727</v>
      </c>
      <c r="G21" s="78">
        <f t="shared" si="1"/>
        <v>157309.34365013792</v>
      </c>
      <c r="H21" s="154">
        <f>'[3]Req Inflow'!E20</f>
        <v>161796.13259591514</v>
      </c>
      <c r="I21" s="72">
        <f t="shared" si="2"/>
        <v>319105.47624605306</v>
      </c>
      <c r="K21" s="72">
        <f>MAX([2]GWCU!L25*0.7,E21)</f>
        <v>81235.763650137727</v>
      </c>
      <c r="L21" s="72">
        <f>'[2]M&amp;I COHYST Summary'!F21</f>
        <v>4922.8200000000015</v>
      </c>
      <c r="M21" s="72">
        <f>IF('[3]DS Demand'!G20&gt;0,'[3]DS Demand'!G20,0)</f>
        <v>179312.42913506873</v>
      </c>
      <c r="N21" s="43">
        <f>'[4]Instream Applied Grand Island'!B20</f>
        <v>179312.42913506873</v>
      </c>
      <c r="O21" s="72">
        <f t="shared" si="7"/>
        <v>179312.42913506873</v>
      </c>
      <c r="P21" s="19"/>
      <c r="Q21" s="73">
        <f t="shared" si="3"/>
        <v>265471.01278520643</v>
      </c>
      <c r="R21" s="73">
        <f t="shared" si="8"/>
        <v>265471.01278520643</v>
      </c>
      <c r="T21" s="151">
        <f t="shared" si="4"/>
        <v>53634.463460846629</v>
      </c>
      <c r="U21" s="151">
        <f t="shared" si="5"/>
        <v>53634.463460846629</v>
      </c>
    </row>
    <row r="22" spans="1:21" x14ac:dyDescent="0.25">
      <c r="A22" s="38">
        <v>2002</v>
      </c>
      <c r="B22" s="146">
        <f>'[1]Capped Flow'!H21</f>
        <v>454750.55999999994</v>
      </c>
      <c r="C22" s="146">
        <f>'[1]Capped Flow'!I21</f>
        <v>528667.92000000004</v>
      </c>
      <c r="D22" s="146">
        <f t="shared" si="6"/>
        <v>73917.360000000102</v>
      </c>
      <c r="E22" s="146">
        <f>'[2]GW Depletions'!G29</f>
        <v>79057.532112029381</v>
      </c>
      <c r="G22" s="78">
        <f t="shared" si="1"/>
        <v>152974.89211202948</v>
      </c>
      <c r="H22" s="154">
        <f>'[3]Req Inflow'!E21</f>
        <v>28259.730877180991</v>
      </c>
      <c r="I22" s="72">
        <f t="shared" si="2"/>
        <v>181234.62298921047</v>
      </c>
      <c r="K22" s="72">
        <f>MAX([2]GWCU!L26*0.7,E22)</f>
        <v>129361.05609583312</v>
      </c>
      <c r="L22" s="72">
        <f>'[2]M&amp;I COHYST Summary'!F22</f>
        <v>4991.619999999999</v>
      </c>
      <c r="M22" s="72">
        <f>IF('[3]DS Demand'!G21&gt;0,'[3]DS Demand'!G21,0)</f>
        <v>46564.453112081515</v>
      </c>
      <c r="N22" s="43">
        <f>'[4]Instream Applied Grand Island'!B21</f>
        <v>31666.00269782095</v>
      </c>
      <c r="O22" s="72">
        <f t="shared" si="7"/>
        <v>46564.453112081515</v>
      </c>
      <c r="P22" s="19"/>
      <c r="Q22" s="73">
        <f t="shared" si="3"/>
        <v>130613.60522411088</v>
      </c>
      <c r="R22" s="73">
        <f t="shared" si="8"/>
        <v>180917.12920791464</v>
      </c>
      <c r="T22" s="151">
        <f t="shared" si="4"/>
        <v>50621.01776509959</v>
      </c>
      <c r="U22" s="151">
        <f t="shared" si="5"/>
        <v>317.49378129583783</v>
      </c>
    </row>
    <row r="23" spans="1:21" x14ac:dyDescent="0.25">
      <c r="A23" s="38">
        <v>2003</v>
      </c>
      <c r="B23" s="146">
        <f>'[1]Capped Flow'!H22</f>
        <v>271978.74</v>
      </c>
      <c r="C23" s="146">
        <f>'[1]Capped Flow'!I22</f>
        <v>316025.82000000007</v>
      </c>
      <c r="D23" s="146">
        <f t="shared" si="6"/>
        <v>44047.080000000075</v>
      </c>
      <c r="E23" s="146">
        <f>'[2]GW Depletions'!G30</f>
        <v>82849.898310376477</v>
      </c>
      <c r="G23" s="78">
        <f t="shared" si="1"/>
        <v>126896.97831037655</v>
      </c>
      <c r="H23" s="154">
        <f>'[3]Req Inflow'!E22</f>
        <v>50973.761176431108</v>
      </c>
      <c r="I23" s="72">
        <f t="shared" si="2"/>
        <v>177870.73948680767</v>
      </c>
      <c r="K23" s="72">
        <f>MAX([2]GWCU!L27*0.7,E23)</f>
        <v>99257.098762500129</v>
      </c>
      <c r="L23" s="72">
        <f>'[2]M&amp;I COHYST Summary'!F23</f>
        <v>5051.2299999999996</v>
      </c>
      <c r="M23" s="72">
        <f>IF('[3]DS Demand'!G22&gt;0,'[3]DS Demand'!G22,0)</f>
        <v>57320.519033485325</v>
      </c>
      <c r="N23" s="43">
        <f>'[4]Instream Applied Grand Island'!B22</f>
        <v>57320.519033485325</v>
      </c>
      <c r="O23" s="72">
        <f t="shared" si="7"/>
        <v>57320.519033485325</v>
      </c>
      <c r="P23" s="19"/>
      <c r="Q23" s="73">
        <f t="shared" si="3"/>
        <v>145221.64734386181</v>
      </c>
      <c r="R23" s="73">
        <f t="shared" si="8"/>
        <v>161628.84779598546</v>
      </c>
      <c r="T23" s="151">
        <f t="shared" si="4"/>
        <v>32649.092142945854</v>
      </c>
      <c r="U23" s="151">
        <f t="shared" si="5"/>
        <v>16241.891690822202</v>
      </c>
    </row>
    <row r="24" spans="1:21" x14ac:dyDescent="0.25">
      <c r="A24" s="38">
        <v>2004</v>
      </c>
      <c r="B24" s="146">
        <f>'[1]Capped Flow'!H23</f>
        <v>195980.00400000002</v>
      </c>
      <c r="C24" s="146">
        <f>'[1]Capped Flow'!I23</f>
        <v>196309.08000000002</v>
      </c>
      <c r="D24" s="146">
        <f t="shared" si="6"/>
        <v>329.07600000000093</v>
      </c>
      <c r="E24" s="146">
        <f>'[2]GW Depletions'!G31</f>
        <v>79392.527722681363</v>
      </c>
      <c r="G24" s="78">
        <f t="shared" si="1"/>
        <v>79721.603722681364</v>
      </c>
      <c r="H24" s="154">
        <f>'[3]Req Inflow'!E23</f>
        <v>67384.119245349284</v>
      </c>
      <c r="I24" s="72">
        <f t="shared" si="2"/>
        <v>147105.72296803066</v>
      </c>
      <c r="K24" s="72">
        <f>MAX([2]GWCU!L28*0.7,E24)</f>
        <v>79392.527722681363</v>
      </c>
      <c r="L24" s="72">
        <f>'[2]M&amp;I COHYST Summary'!F24</f>
        <v>5114.6900000000005</v>
      </c>
      <c r="M24" s="72">
        <f>IF('[3]DS Demand'!G23&gt;0,'[3]DS Demand'!G23,0)</f>
        <v>73157.163613255834</v>
      </c>
      <c r="N24" s="43">
        <f>'[4]Instream Applied Grand Island'!B23</f>
        <v>73157.163613255834</v>
      </c>
      <c r="O24" s="72">
        <f t="shared" si="7"/>
        <v>73157.163613255834</v>
      </c>
      <c r="P24" s="19"/>
      <c r="Q24" s="73">
        <f t="shared" si="3"/>
        <v>157664.38133593719</v>
      </c>
      <c r="R24" s="73">
        <f t="shared" si="8"/>
        <v>157664.38133593719</v>
      </c>
      <c r="T24" s="151">
        <f t="shared" si="4"/>
        <v>-10558.658367906522</v>
      </c>
      <c r="U24" s="151">
        <f t="shared" si="5"/>
        <v>-10558.658367906522</v>
      </c>
    </row>
    <row r="25" spans="1:21" x14ac:dyDescent="0.25">
      <c r="A25" s="38">
        <v>2005</v>
      </c>
      <c r="B25" s="146">
        <f>'[1]Capped Flow'!H24</f>
        <v>260257.14000000007</v>
      </c>
      <c r="C25" s="146">
        <f>'[1]Capped Flow'!I24</f>
        <v>272748.70260000008</v>
      </c>
      <c r="D25" s="146">
        <f t="shared" si="6"/>
        <v>12491.562600000005</v>
      </c>
      <c r="E25" s="146">
        <f>'[2]GW Depletions'!G32</f>
        <v>76369.7842412764</v>
      </c>
      <c r="G25" s="78">
        <f t="shared" si="1"/>
        <v>88861.346841276405</v>
      </c>
      <c r="H25" s="154">
        <f>'[3]Req Inflow'!E24</f>
        <v>109080.07598243801</v>
      </c>
      <c r="I25" s="72">
        <f t="shared" si="2"/>
        <v>197941.42282371441</v>
      </c>
      <c r="K25" s="72">
        <f>MAX([2]GWCU!L29*0.7,E25)</f>
        <v>88273.203870833458</v>
      </c>
      <c r="L25" s="72">
        <f>'[2]M&amp;I COHYST Summary'!F25</f>
        <v>5228.0299999999988</v>
      </c>
      <c r="M25" s="72">
        <f>IF('[3]DS Demand'!G24&gt;0,'[3]DS Demand'!G24,0)</f>
        <v>117815.14287120383</v>
      </c>
      <c r="N25" s="43">
        <f>'[4]Instream Applied Grand Island'!B24</f>
        <v>117815.14287120383</v>
      </c>
      <c r="O25" s="72">
        <f t="shared" si="7"/>
        <v>117815.14287120383</v>
      </c>
      <c r="P25" s="19"/>
      <c r="Q25" s="73">
        <f t="shared" si="3"/>
        <v>199412.95711248022</v>
      </c>
      <c r="R25" s="73">
        <f t="shared" si="8"/>
        <v>211316.37674203728</v>
      </c>
      <c r="T25" s="151">
        <f t="shared" si="4"/>
        <v>-1471.5342887658044</v>
      </c>
      <c r="U25" s="151">
        <f t="shared" si="5"/>
        <v>-13374.953918322863</v>
      </c>
    </row>
    <row r="26" spans="1:21" x14ac:dyDescent="0.25">
      <c r="A26" s="38">
        <v>2006</v>
      </c>
      <c r="B26" s="146">
        <f>'[1]Capped Flow'!H25</f>
        <v>162468.90000000002</v>
      </c>
      <c r="C26" s="146">
        <f>'[1]Capped Flow'!I25</f>
        <v>229703.75999999995</v>
      </c>
      <c r="D26" s="146">
        <f t="shared" si="6"/>
        <v>67234.859999999928</v>
      </c>
      <c r="E26" s="146">
        <f>'[2]GW Depletions'!G33</f>
        <v>73604.682403581275</v>
      </c>
      <c r="G26" s="78">
        <f t="shared" si="1"/>
        <v>140839.5424035812</v>
      </c>
      <c r="H26" s="154">
        <f>'[3]Req Inflow'!E25</f>
        <v>96100.40495511725</v>
      </c>
      <c r="I26" s="72">
        <f t="shared" si="2"/>
        <v>236939.94735869847</v>
      </c>
      <c r="K26" s="72">
        <f>MAX([2]GWCU!L30*0.7,E26)</f>
        <v>73604.682403581275</v>
      </c>
      <c r="L26" s="72">
        <f>'[2]M&amp;I COHYST Summary'!F26</f>
        <v>5228.0299999999988</v>
      </c>
      <c r="M26" s="72">
        <f>IF('[3]DS Demand'!G25&gt;0,'[3]DS Demand'!G25,0)</f>
        <v>108659.56706083234</v>
      </c>
      <c r="N26" s="43">
        <f>'[4]Instream Applied Grand Island'!B25</f>
        <v>108659.56706083234</v>
      </c>
      <c r="O26" s="72">
        <f t="shared" si="7"/>
        <v>108659.56706083234</v>
      </c>
      <c r="P26" s="19"/>
      <c r="Q26" s="73">
        <f t="shared" si="3"/>
        <v>187492.27946441362</v>
      </c>
      <c r="R26" s="73">
        <f t="shared" si="8"/>
        <v>187492.27946441362</v>
      </c>
      <c r="T26" s="151">
        <f t="shared" si="4"/>
        <v>49447.667894284852</v>
      </c>
      <c r="U26" s="151">
        <f t="shared" si="5"/>
        <v>49447.667894284852</v>
      </c>
    </row>
    <row r="27" spans="1:21" x14ac:dyDescent="0.25">
      <c r="A27" s="38">
        <v>2007</v>
      </c>
      <c r="B27" s="146">
        <f>'[1]Capped Flow'!H26</f>
        <v>372531.06</v>
      </c>
      <c r="C27" s="146">
        <f>'[1]Capped Flow'!I26</f>
        <v>512039.87999999995</v>
      </c>
      <c r="D27" s="146">
        <f t="shared" si="6"/>
        <v>139508.81999999995</v>
      </c>
      <c r="E27" s="146">
        <f>'[2]GW Depletions'!G34</f>
        <v>72448.004449724511</v>
      </c>
      <c r="G27" s="78">
        <f t="shared" si="1"/>
        <v>211956.82444972446</v>
      </c>
      <c r="H27" s="154">
        <f>'[3]Req Inflow'!E26</f>
        <v>181636.84542321839</v>
      </c>
      <c r="I27" s="72">
        <f t="shared" si="2"/>
        <v>393593.66987294285</v>
      </c>
      <c r="K27" s="72">
        <f>MAX([2]GWCU!L31*0.7,E27)</f>
        <v>72448.004449724511</v>
      </c>
      <c r="L27" s="72">
        <f>'[2]M&amp;I COHYST Summary'!F27</f>
        <v>5228.0299999999988</v>
      </c>
      <c r="M27" s="72">
        <f>IF('[3]DS Demand'!G26&gt;0,'[3]DS Demand'!G26,0)</f>
        <v>212307.66923410638</v>
      </c>
      <c r="N27" s="43">
        <f>'[4]Instream Applied Grand Island'!B26</f>
        <v>212307.66923410638</v>
      </c>
      <c r="O27" s="72">
        <f t="shared" si="7"/>
        <v>212307.66923410638</v>
      </c>
      <c r="P27" s="19"/>
      <c r="Q27" s="73">
        <f t="shared" si="3"/>
        <v>289983.70368383091</v>
      </c>
      <c r="R27" s="73">
        <f t="shared" si="8"/>
        <v>289983.70368383091</v>
      </c>
      <c r="T27" s="151">
        <f t="shared" si="4"/>
        <v>103609.96618911193</v>
      </c>
      <c r="U27" s="151">
        <f t="shared" si="5"/>
        <v>103609.96618911193</v>
      </c>
    </row>
    <row r="28" spans="1:21" x14ac:dyDescent="0.25">
      <c r="A28" s="38">
        <v>2008</v>
      </c>
      <c r="B28" s="146">
        <f>'[1]Capped Flow'!H27</f>
        <v>367109.81999999989</v>
      </c>
      <c r="C28" s="146">
        <f>'[1]Capped Flow'!I27</f>
        <v>476785.9800000001</v>
      </c>
      <c r="D28" s="146">
        <f t="shared" si="6"/>
        <v>109676.16000000021</v>
      </c>
      <c r="E28" s="146">
        <f>'[2]GW Depletions'!G35</f>
        <v>90689.78916896235</v>
      </c>
      <c r="G28" s="78">
        <f t="shared" si="1"/>
        <v>200365.94916896254</v>
      </c>
      <c r="H28" s="154">
        <f>'[3]Req Inflow'!E27</f>
        <v>170910.78933165871</v>
      </c>
      <c r="I28" s="72">
        <f t="shared" si="2"/>
        <v>371276.73850062129</v>
      </c>
      <c r="K28" s="72">
        <f>MAX([2]GWCU!L32*0.7,E28)</f>
        <v>96592.408219999736</v>
      </c>
      <c r="L28" s="72">
        <f>'[2]M&amp;I COHYST Summary'!F28</f>
        <v>5228.0299999999988</v>
      </c>
      <c r="M28" s="72">
        <f>IF('[3]DS Demand'!G27&gt;0,'[3]DS Demand'!G27,0)</f>
        <v>198072.75031115397</v>
      </c>
      <c r="N28" s="43">
        <f>'[4]Instream Applied Grand Island'!B27</f>
        <v>198072.75031115397</v>
      </c>
      <c r="O28" s="72">
        <f t="shared" si="7"/>
        <v>198072.75031115397</v>
      </c>
      <c r="P28" s="19"/>
      <c r="Q28" s="73">
        <f t="shared" si="3"/>
        <v>293990.56948011636</v>
      </c>
      <c r="R28" s="73">
        <f t="shared" si="8"/>
        <v>299893.18853115372</v>
      </c>
      <c r="T28" s="151">
        <f t="shared" si="4"/>
        <v>77286.169020504924</v>
      </c>
      <c r="U28" s="151">
        <f t="shared" si="5"/>
        <v>71383.549969467567</v>
      </c>
    </row>
    <row r="29" spans="1:21" x14ac:dyDescent="0.25">
      <c r="A29" s="38">
        <v>2009</v>
      </c>
      <c r="B29" s="146">
        <f>'[1]Capped Flow'!H28</f>
        <v>390600.54000000015</v>
      </c>
      <c r="C29" s="146">
        <f>'[1]Capped Flow'!I28</f>
        <v>537366.05999999994</v>
      </c>
      <c r="D29" s="146">
        <f t="shared" si="6"/>
        <v>146765.51999999979</v>
      </c>
      <c r="E29" s="146">
        <f>'[2]GW Depletions'!G36</f>
        <v>111952.58152548209</v>
      </c>
      <c r="G29" s="78">
        <f t="shared" si="1"/>
        <v>258718.10152548188</v>
      </c>
      <c r="H29" s="154">
        <f>'[3]Req Inflow'!E28</f>
        <v>195159.37325119268</v>
      </c>
      <c r="I29" s="72">
        <f t="shared" si="2"/>
        <v>453877.47477667453</v>
      </c>
      <c r="K29" s="72">
        <f>MAX([2]GWCU!L33*0.7,E29)</f>
        <v>111952.58152548209</v>
      </c>
      <c r="L29" s="72">
        <f>'[2]M&amp;I COHYST Summary'!F29</f>
        <v>5228.0299999999988</v>
      </c>
      <c r="M29" s="72">
        <f>IF('[3]DS Demand'!G28&gt;0,'[3]DS Demand'!G28,0)</f>
        <v>233910.82506188491</v>
      </c>
      <c r="N29" s="43">
        <f>'[4]Instream Applied Grand Island'!B28</f>
        <v>233910.82506188491</v>
      </c>
      <c r="O29" s="72">
        <f t="shared" si="7"/>
        <v>233910.82506188491</v>
      </c>
      <c r="P29" s="19"/>
      <c r="Q29" s="73">
        <f t="shared" si="3"/>
        <v>351091.43658736697</v>
      </c>
      <c r="R29" s="73">
        <f t="shared" si="8"/>
        <v>351091.43658736697</v>
      </c>
      <c r="T29" s="151">
        <f t="shared" si="4"/>
        <v>102786.03818930755</v>
      </c>
      <c r="U29" s="151">
        <f t="shared" si="5"/>
        <v>102786.03818930755</v>
      </c>
    </row>
    <row r="30" spans="1:21" x14ac:dyDescent="0.25">
      <c r="A30" s="38">
        <v>2010</v>
      </c>
      <c r="B30" s="146">
        <f>'[1]Capped Flow'!H29</f>
        <v>822773.15999999968</v>
      </c>
      <c r="C30" s="146">
        <f>'[1]Capped Flow'!I29</f>
        <v>877652.8200000003</v>
      </c>
      <c r="D30" s="146">
        <f t="shared" si="6"/>
        <v>54879.660000000615</v>
      </c>
      <c r="E30" s="146">
        <f>'[2]GW Depletions'!G37</f>
        <v>102556.28974403122</v>
      </c>
      <c r="G30" s="78">
        <f t="shared" si="1"/>
        <v>157435.94974403182</v>
      </c>
      <c r="H30" s="154">
        <f>'[3]Req Inflow'!E29</f>
        <v>261144.00512652702</v>
      </c>
      <c r="I30" s="72">
        <f t="shared" si="2"/>
        <v>418579.95487055881</v>
      </c>
      <c r="K30" s="72">
        <f>MAX([2]GWCU!L34*0.7,E30)</f>
        <v>107653.97932859349</v>
      </c>
      <c r="L30" s="72">
        <f>'[2]M&amp;I COHYST Summary'!F30</f>
        <v>5228.0299999999988</v>
      </c>
      <c r="M30" s="72">
        <f>IF('[3]DS Demand'!G29&gt;0,'[3]DS Demand'!G29,0)</f>
        <v>284677.74140552001</v>
      </c>
      <c r="N30" s="43">
        <f>'[4]Instream Applied Grand Island'!B29</f>
        <v>284677.74140552001</v>
      </c>
      <c r="O30" s="72">
        <f t="shared" si="7"/>
        <v>284677.74140552001</v>
      </c>
      <c r="P30" s="19"/>
      <c r="Q30" s="73">
        <f t="shared" si="3"/>
        <v>392462.06114955118</v>
      </c>
      <c r="R30" s="73">
        <f t="shared" si="8"/>
        <v>397559.75073411351</v>
      </c>
      <c r="T30" s="151">
        <f t="shared" si="4"/>
        <v>26117.893721007626</v>
      </c>
      <c r="U30" s="151">
        <f t="shared" si="5"/>
        <v>21020.204136445303</v>
      </c>
    </row>
    <row r="31" spans="1:21" x14ac:dyDescent="0.25">
      <c r="A31" s="38">
        <v>2011</v>
      </c>
      <c r="B31" s="146">
        <f>'[1]Capped Flow'!H30</f>
        <v>1463053.6800000002</v>
      </c>
      <c r="C31" s="146">
        <f>'[1]Capped Flow'!I30</f>
        <v>1491724.0799999996</v>
      </c>
      <c r="D31" s="146">
        <f t="shared" si="6"/>
        <v>28670.399999999441</v>
      </c>
      <c r="E31" s="146">
        <f>'[2]GW Depletions'!G38</f>
        <v>103124.44558195592</v>
      </c>
      <c r="G31" s="78">
        <f t="shared" si="1"/>
        <v>131794.84558195536</v>
      </c>
      <c r="H31" s="154">
        <f>'[3]Req Inflow'!E30</f>
        <v>231275.50452897977</v>
      </c>
      <c r="I31" s="72">
        <f t="shared" si="2"/>
        <v>363070.35011093516</v>
      </c>
      <c r="K31" s="72">
        <f>MAX([2]GWCU!L35*0.7,E31)</f>
        <v>110543.77938293197</v>
      </c>
      <c r="L31" s="72">
        <f>'[2]M&amp;I COHYST Summary'!F31</f>
        <v>5228.0299999999988</v>
      </c>
      <c r="M31" s="72">
        <f>IF('[3]DS Demand'!G30&gt;0,'[3]DS Demand'!G30,0)</f>
        <v>245008.01679289708</v>
      </c>
      <c r="N31" s="43">
        <f>'[4]Instream Applied Grand Island'!B30</f>
        <v>245008.01679289708</v>
      </c>
      <c r="O31" s="72">
        <f t="shared" si="7"/>
        <v>245008.01679289708</v>
      </c>
      <c r="P31" s="19"/>
      <c r="Q31" s="73">
        <f t="shared" si="3"/>
        <v>353360.492374853</v>
      </c>
      <c r="R31" s="73">
        <f t="shared" si="8"/>
        <v>360779.82617582905</v>
      </c>
      <c r="T31" s="151">
        <f t="shared" si="4"/>
        <v>9709.8577360821655</v>
      </c>
      <c r="U31" s="151">
        <f t="shared" si="5"/>
        <v>2290.5239351061173</v>
      </c>
    </row>
    <row r="32" spans="1:21" x14ac:dyDescent="0.25">
      <c r="A32" s="38">
        <v>2012</v>
      </c>
      <c r="B32" s="146">
        <f>'[1]Capped Flow'!H31</f>
        <v>1406692.98</v>
      </c>
      <c r="C32" s="146">
        <f>'[1]Capped Flow'!I31</f>
        <v>1462572.5400000003</v>
      </c>
      <c r="D32" s="146">
        <f t="shared" si="6"/>
        <v>55879.560000000289</v>
      </c>
      <c r="E32" s="146">
        <f>'[2]GW Depletions'!G39</f>
        <v>95254.708420569339</v>
      </c>
      <c r="G32" s="78">
        <f t="shared" si="1"/>
        <v>151134.26842056963</v>
      </c>
      <c r="H32" s="154">
        <f>'[3]Req Inflow'!E31</f>
        <v>101205.16818694584</v>
      </c>
      <c r="I32" s="72">
        <f t="shared" si="2"/>
        <v>252339.43660751547</v>
      </c>
      <c r="K32" s="72">
        <f>MAX([2]GWCU!L36*0.7,E32)</f>
        <v>148390.29645999963</v>
      </c>
      <c r="L32" s="72">
        <f>'[2]M&amp;I COHYST Summary'!F32</f>
        <v>5228.0299999999988</v>
      </c>
      <c r="M32" s="72">
        <f>IF('[3]DS Demand'!G31&gt;0,'[3]DS Demand'!G31,0)</f>
        <v>109635.31684409012</v>
      </c>
      <c r="N32" s="43">
        <f>'[4]Instream Applied Grand Island'!B31</f>
        <v>109635.31684409012</v>
      </c>
      <c r="O32" s="72">
        <f t="shared" si="7"/>
        <v>109635.31684409012</v>
      </c>
      <c r="P32" s="19"/>
      <c r="Q32" s="73">
        <f t="shared" si="3"/>
        <v>210118.05526465946</v>
      </c>
      <c r="R32" s="73">
        <f t="shared" si="8"/>
        <v>263253.64330408978</v>
      </c>
      <c r="T32" s="151">
        <f t="shared" si="4"/>
        <v>42221.38134285601</v>
      </c>
      <c r="U32" s="151">
        <f t="shared" si="5"/>
        <v>-10914.206696574314</v>
      </c>
    </row>
    <row r="33" spans="1:21" x14ac:dyDescent="0.25">
      <c r="P33"/>
    </row>
    <row r="34" spans="1:21" x14ac:dyDescent="0.25">
      <c r="P34"/>
    </row>
    <row r="35" spans="1:21" x14ac:dyDescent="0.25">
      <c r="A35" t="s">
        <v>9</v>
      </c>
      <c r="B35" s="16">
        <f>AVERAGE(B8:B32)</f>
        <v>760248.62496000016</v>
      </c>
      <c r="C35" s="16">
        <f t="shared" ref="C35:U35" si="9">AVERAGE(C8:C32)</f>
        <v>812043.92570400005</v>
      </c>
      <c r="D35" s="16">
        <f t="shared" si="9"/>
        <v>51795.30074400008</v>
      </c>
      <c r="E35" s="16">
        <f t="shared" si="9"/>
        <v>81582.85846869144</v>
      </c>
      <c r="F35" s="16"/>
      <c r="G35" s="15">
        <f t="shared" si="9"/>
        <v>133378.15921269153</v>
      </c>
      <c r="H35" s="15">
        <f t="shared" si="9"/>
        <v>154073.13242161594</v>
      </c>
      <c r="I35" s="15">
        <f t="shared" si="9"/>
        <v>287451.29163430742</v>
      </c>
      <c r="J35" s="16"/>
      <c r="K35" s="16">
        <f t="shared" si="9"/>
        <v>92131.657098023075</v>
      </c>
      <c r="L35" s="16">
        <f t="shared" si="9"/>
        <v>4666.5971999999992</v>
      </c>
      <c r="M35" s="16">
        <f t="shared" si="9"/>
        <v>168757.04619636963</v>
      </c>
      <c r="N35" s="16">
        <f t="shared" si="9"/>
        <v>168161.10817979919</v>
      </c>
      <c r="O35" s="16">
        <f t="shared" si="9"/>
        <v>168757.04619636963</v>
      </c>
      <c r="P35" s="16"/>
      <c r="Q35" s="16">
        <f t="shared" si="9"/>
        <v>255006.50186506112</v>
      </c>
      <c r="R35" s="16">
        <f t="shared" si="9"/>
        <v>265555.30049439275</v>
      </c>
      <c r="S35" s="16"/>
      <c r="T35" s="16">
        <f t="shared" si="9"/>
        <v>32444.789769246374</v>
      </c>
      <c r="U35" s="16">
        <f t="shared" si="9"/>
        <v>21895.991139914757</v>
      </c>
    </row>
    <row r="36" spans="1:21" x14ac:dyDescent="0.25">
      <c r="N36" s="122"/>
    </row>
    <row r="37" spans="1:21" x14ac:dyDescent="0.25">
      <c r="N37" s="122"/>
    </row>
    <row r="39" spans="1:21" x14ac:dyDescent="0.25">
      <c r="A39" t="s">
        <v>10</v>
      </c>
      <c r="D39" t="s">
        <v>6</v>
      </c>
      <c r="G39" t="s">
        <v>7</v>
      </c>
    </row>
    <row r="40" spans="1:21" x14ac:dyDescent="0.25">
      <c r="A40" s="36" t="s">
        <v>2</v>
      </c>
      <c r="B40" s="61">
        <f>D35</f>
        <v>51795.30074400008</v>
      </c>
      <c r="D40" s="36" t="s">
        <v>11</v>
      </c>
      <c r="E40" s="61">
        <f>E35</f>
        <v>81582.85846869144</v>
      </c>
      <c r="F40" s="40"/>
      <c r="G40" s="36" t="s">
        <v>12</v>
      </c>
      <c r="H40" s="61">
        <f>K35</f>
        <v>92131.657098023075</v>
      </c>
      <c r="K40" s="16" t="s">
        <v>135</v>
      </c>
      <c r="L40" s="161" t="s">
        <v>136</v>
      </c>
    </row>
    <row r="41" spans="1:21" x14ac:dyDescent="0.25">
      <c r="A41" s="36" t="s">
        <v>11</v>
      </c>
      <c r="B41" s="61">
        <f>E35</f>
        <v>81582.85846869144</v>
      </c>
      <c r="D41" s="36" t="s">
        <v>13</v>
      </c>
      <c r="E41" s="61"/>
      <c r="F41" s="40"/>
      <c r="G41" s="36" t="s">
        <v>13</v>
      </c>
      <c r="H41" s="61"/>
      <c r="K41" s="161" t="s">
        <v>137</v>
      </c>
      <c r="L41" s="161" t="s">
        <v>138</v>
      </c>
    </row>
    <row r="42" spans="1:21" x14ac:dyDescent="0.25">
      <c r="A42" s="36" t="s">
        <v>3</v>
      </c>
      <c r="B42" s="61"/>
      <c r="D42" s="36" t="s">
        <v>95</v>
      </c>
      <c r="E42" s="39">
        <f>L35</f>
        <v>4666.5971999999992</v>
      </c>
      <c r="G42" s="36" t="s">
        <v>95</v>
      </c>
      <c r="H42" s="39">
        <f>E42</f>
        <v>4666.5971999999992</v>
      </c>
      <c r="K42" s="161" t="s">
        <v>139</v>
      </c>
      <c r="L42" s="161" t="s">
        <v>140</v>
      </c>
    </row>
    <row r="43" spans="1:21" x14ac:dyDescent="0.25">
      <c r="A43" s="38" t="s">
        <v>68</v>
      </c>
      <c r="B43" s="39">
        <f>H35</f>
        <v>154073.13242161594</v>
      </c>
      <c r="D43" s="36" t="s">
        <v>18</v>
      </c>
      <c r="E43" s="74">
        <f>O35</f>
        <v>168757.04619636963</v>
      </c>
      <c r="F43" s="1"/>
      <c r="G43" s="36" t="s">
        <v>18</v>
      </c>
      <c r="H43" s="74">
        <f>E43</f>
        <v>168757.04619636963</v>
      </c>
      <c r="K43" s="161" t="s">
        <v>141</v>
      </c>
      <c r="L43" s="161" t="s">
        <v>142</v>
      </c>
    </row>
    <row r="44" spans="1:21" x14ac:dyDescent="0.25">
      <c r="A44" s="38" t="s">
        <v>22</v>
      </c>
      <c r="B44" s="27">
        <f>SUM(B40:B43)</f>
        <v>287451.29163430748</v>
      </c>
      <c r="D44" s="36" t="s">
        <v>42</v>
      </c>
      <c r="E44" s="61">
        <f>B44-E45</f>
        <v>32444.789769246418</v>
      </c>
      <c r="F44" s="40"/>
      <c r="G44" s="36" t="s">
        <v>42</v>
      </c>
      <c r="H44" s="61">
        <f>$B$44-H45</f>
        <v>21895.991139914782</v>
      </c>
      <c r="K44" s="161" t="s">
        <v>143</v>
      </c>
      <c r="L44" s="161" t="s">
        <v>144</v>
      </c>
    </row>
    <row r="45" spans="1:21" x14ac:dyDescent="0.25">
      <c r="D45" s="36" t="s">
        <v>22</v>
      </c>
      <c r="E45" s="61">
        <f>SUM(E40:E43)</f>
        <v>255006.50186506106</v>
      </c>
      <c r="F45" s="40"/>
      <c r="G45" s="36" t="s">
        <v>22</v>
      </c>
      <c r="H45" s="61">
        <f>SUM(H40:H43)</f>
        <v>265555.30049439269</v>
      </c>
      <c r="K45" s="161" t="s">
        <v>5</v>
      </c>
      <c r="L45" s="161" t="s">
        <v>145</v>
      </c>
    </row>
    <row r="46" spans="1:21" x14ac:dyDescent="0.25">
      <c r="H46" s="7"/>
      <c r="K46" s="5" t="s">
        <v>146</v>
      </c>
      <c r="L46" s="161" t="s">
        <v>147</v>
      </c>
    </row>
    <row r="47" spans="1:21" x14ac:dyDescent="0.25">
      <c r="K47" s="5" t="s">
        <v>148</v>
      </c>
      <c r="L47" s="161" t="s">
        <v>149</v>
      </c>
    </row>
    <row r="48" spans="1:21" x14ac:dyDescent="0.25">
      <c r="K48" s="5" t="s">
        <v>150</v>
      </c>
      <c r="L48" s="161" t="s">
        <v>151</v>
      </c>
    </row>
    <row r="49" spans="11:12" x14ac:dyDescent="0.25">
      <c r="K49" s="125" t="s">
        <v>152</v>
      </c>
      <c r="L49" s="125" t="s">
        <v>153</v>
      </c>
    </row>
    <row r="50" spans="11:12" x14ac:dyDescent="0.25">
      <c r="K50" s="125" t="s">
        <v>154</v>
      </c>
      <c r="L50" s="125" t="s">
        <v>155</v>
      </c>
    </row>
  </sheetData>
  <mergeCells count="1">
    <mergeCell ref="A6:A7"/>
  </mergeCells>
  <printOptions gridLines="1"/>
  <pageMargins left="0.7" right="0.7" top="0.75" bottom="0.75" header="0.3" footer="0.3"/>
  <pageSetup paperSize="3" scale="99" fitToWidth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AN62"/>
  <sheetViews>
    <sheetView showGridLines="0" zoomScale="70" zoomScaleNormal="70" workbookViewId="0">
      <selection activeCell="A35" sqref="A35"/>
    </sheetView>
  </sheetViews>
  <sheetFormatPr defaultColWidth="9.140625" defaultRowHeight="15" x14ac:dyDescent="0.25"/>
  <cols>
    <col min="1" max="1" width="24.5703125" style="6" customWidth="1"/>
    <col min="2" max="4" width="18" style="6" customWidth="1"/>
    <col min="5" max="5" width="20.5703125" style="1" customWidth="1"/>
    <col min="6" max="6" width="19.28515625" style="6" bestFit="1" customWidth="1"/>
    <col min="7" max="7" width="24.28515625" style="6" customWidth="1"/>
    <col min="8" max="8" width="21.42578125" customWidth="1"/>
    <col min="9" max="9" width="19.28515625" style="1" customWidth="1"/>
    <col min="10" max="10" width="16" customWidth="1"/>
    <col min="11" max="12" width="33.42578125" style="6" customWidth="1"/>
    <col min="13" max="13" width="33.7109375" style="6" customWidth="1"/>
    <col min="14" max="14" width="22.140625" style="6" customWidth="1"/>
    <col min="15" max="16" width="22.85546875" style="6" customWidth="1"/>
    <col min="17" max="17" width="20" style="6" customWidth="1"/>
    <col min="18" max="20" width="19" style="6" customWidth="1"/>
    <col min="21" max="22" width="29" style="6" customWidth="1"/>
    <col min="23" max="16384" width="9.140625" style="6"/>
  </cols>
  <sheetData>
    <row r="1" spans="1:40" x14ac:dyDescent="0.25">
      <c r="A1" s="6" t="s">
        <v>108</v>
      </c>
      <c r="B1" s="162">
        <v>43262</v>
      </c>
      <c r="E1" s="127"/>
      <c r="H1" s="161"/>
      <c r="I1" s="127"/>
      <c r="J1" s="161"/>
    </row>
    <row r="2" spans="1:40" x14ac:dyDescent="0.25">
      <c r="A2" s="6" t="s">
        <v>109</v>
      </c>
      <c r="B2" s="6" t="s">
        <v>110</v>
      </c>
      <c r="E2" s="127"/>
      <c r="H2" s="161"/>
      <c r="I2" s="127"/>
      <c r="J2" s="161"/>
    </row>
    <row r="3" spans="1:40" x14ac:dyDescent="0.25">
      <c r="A3" s="6" t="s">
        <v>27</v>
      </c>
      <c r="H3" s="20"/>
      <c r="I3" s="20"/>
      <c r="K3" s="11"/>
      <c r="L3" s="125"/>
      <c r="M3" s="11"/>
      <c r="N3" s="11"/>
      <c r="O3" s="11"/>
      <c r="P3" s="5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x14ac:dyDescent="0.25">
      <c r="A4" s="6" t="s">
        <v>15</v>
      </c>
      <c r="H4" s="21"/>
      <c r="I4" s="22"/>
      <c r="K4" s="11"/>
      <c r="L4" s="125"/>
      <c r="M4" s="11"/>
      <c r="N4" s="11"/>
      <c r="O4" s="11"/>
      <c r="P4" s="5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0" customFormat="1" ht="35.25" customHeight="1" x14ac:dyDescent="0.25">
      <c r="E5" s="25"/>
      <c r="F5" s="20"/>
      <c r="H5" s="66"/>
      <c r="I5" s="25"/>
      <c r="L5" s="133"/>
      <c r="M5" s="133"/>
      <c r="N5" s="135"/>
      <c r="O5" s="135"/>
      <c r="S5"/>
    </row>
    <row r="6" spans="1:40" s="10" customFormat="1" ht="30" x14ac:dyDescent="0.25">
      <c r="A6" s="185" t="s">
        <v>1</v>
      </c>
      <c r="B6" s="163" t="s">
        <v>124</v>
      </c>
      <c r="C6" s="163" t="s">
        <v>129</v>
      </c>
      <c r="D6" s="163" t="s">
        <v>98</v>
      </c>
      <c r="E6" s="164" t="s">
        <v>11</v>
      </c>
      <c r="F6" s="130"/>
      <c r="G6" s="163" t="s">
        <v>118</v>
      </c>
      <c r="H6" s="163" t="s">
        <v>93</v>
      </c>
      <c r="I6" s="163" t="s">
        <v>56</v>
      </c>
      <c r="J6" s="130"/>
      <c r="K6" s="166" t="s">
        <v>12</v>
      </c>
      <c r="L6" s="166" t="s">
        <v>95</v>
      </c>
      <c r="M6" s="166" t="s">
        <v>82</v>
      </c>
      <c r="N6" s="166" t="s">
        <v>44</v>
      </c>
      <c r="O6" s="166" t="s">
        <v>18</v>
      </c>
      <c r="P6" s="130"/>
      <c r="Q6" s="166" t="s">
        <v>6</v>
      </c>
      <c r="R6" s="166" t="s">
        <v>7</v>
      </c>
      <c r="S6" s="130"/>
      <c r="T6" s="166" t="s">
        <v>38</v>
      </c>
      <c r="U6" s="166" t="s">
        <v>37</v>
      </c>
      <c r="V6" s="138"/>
    </row>
    <row r="7" spans="1:40" s="10" customForma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30"/>
      <c r="G7" s="164" t="s">
        <v>8</v>
      </c>
      <c r="H7" s="164" t="s">
        <v>8</v>
      </c>
      <c r="I7" s="164" t="s">
        <v>8</v>
      </c>
      <c r="J7" s="130"/>
      <c r="K7" s="164" t="s">
        <v>8</v>
      </c>
      <c r="L7" s="164" t="s">
        <v>97</v>
      </c>
      <c r="M7" s="164" t="s">
        <v>8</v>
      </c>
      <c r="N7" s="164" t="s">
        <v>8</v>
      </c>
      <c r="O7" s="164" t="s">
        <v>8</v>
      </c>
      <c r="P7" s="130"/>
      <c r="Q7" s="164" t="s">
        <v>8</v>
      </c>
      <c r="R7" s="164" t="s">
        <v>8</v>
      </c>
      <c r="S7" s="130"/>
      <c r="T7" s="164" t="s">
        <v>8</v>
      </c>
      <c r="U7" s="164" t="s">
        <v>8</v>
      </c>
      <c r="V7" s="138"/>
    </row>
    <row r="8" spans="1:40" x14ac:dyDescent="0.25">
      <c r="A8" s="38">
        <v>1988</v>
      </c>
      <c r="B8" s="146">
        <f>'[1]Capped Flow'!T7</f>
        <v>132739.19999999998</v>
      </c>
      <c r="C8" s="146">
        <f>'[1]Capped Flow'!U7</f>
        <v>146842.74000000002</v>
      </c>
      <c r="D8" s="146">
        <f t="shared" ref="D8" si="0">C8-B8</f>
        <v>14103.540000000037</v>
      </c>
      <c r="E8" s="43">
        <f>'[2]GW Depletions'!V15</f>
        <v>28532.564491505967</v>
      </c>
      <c r="G8" s="78">
        <f t="shared" ref="G8:G32" si="1">SUM(D8:E8)</f>
        <v>42636.104491506005</v>
      </c>
      <c r="H8" s="154">
        <f>'[3]Req Inflow'!N7</f>
        <v>16964.143312914923</v>
      </c>
      <c r="I8" s="72">
        <f t="shared" ref="I8:I32" si="2">H8+G8</f>
        <v>59600.247804420927</v>
      </c>
      <c r="K8" s="72">
        <f>MAX([2]GWCU!L12*0.3,E8)</f>
        <v>41363.522554999996</v>
      </c>
      <c r="L8" s="72">
        <f>'[2]M&amp;I COHYST Summary'!F36</f>
        <v>2462.65</v>
      </c>
      <c r="M8" s="72">
        <f>IF('[3]DS Demand'!R7&gt;0,'[3]DS Demand'!R7,0)</f>
        <v>25148.539355120582</v>
      </c>
      <c r="N8" s="72">
        <f>'[4]Instream Applied Grand Island'!K7</f>
        <v>19451.307955682336</v>
      </c>
      <c r="O8" s="72">
        <f t="shared" ref="O8:O32" si="3">MAX(M8,N8)</f>
        <v>25148.539355120582</v>
      </c>
      <c r="P8" s="19"/>
      <c r="Q8" s="73">
        <f t="shared" ref="Q8:Q32" si="4">E8+O8+L8</f>
        <v>56143.753846626547</v>
      </c>
      <c r="R8" s="73">
        <f>K8+O8+L8</f>
        <v>68974.711910120575</v>
      </c>
      <c r="S8"/>
      <c r="T8" s="87">
        <f t="shared" ref="T8:T32" si="5">$I8-Q8</f>
        <v>3456.4939577943805</v>
      </c>
      <c r="U8" s="87">
        <f t="shared" ref="U8:U32" si="6">$I8-R8</f>
        <v>-9374.4641056996479</v>
      </c>
    </row>
    <row r="9" spans="1:40" x14ac:dyDescent="0.25">
      <c r="A9" s="38">
        <v>1989</v>
      </c>
      <c r="B9" s="146">
        <f>'[1]Capped Flow'!T8</f>
        <v>101948.22000000004</v>
      </c>
      <c r="C9" s="146">
        <f>'[1]Capped Flow'!U8</f>
        <v>163490.57999999999</v>
      </c>
      <c r="D9" s="146">
        <f t="shared" ref="D9:D32" si="7">C9-B9</f>
        <v>61542.359999999942</v>
      </c>
      <c r="E9" s="43">
        <f>'[2]GW Depletions'!V16</f>
        <v>27812.828723599632</v>
      </c>
      <c r="G9" s="78">
        <f t="shared" si="1"/>
        <v>89355.188723599567</v>
      </c>
      <c r="H9" s="154">
        <f>'[3]Req Inflow'!N8</f>
        <v>25021.335900014772</v>
      </c>
      <c r="I9" s="72">
        <f t="shared" si="2"/>
        <v>114376.52462361434</v>
      </c>
      <c r="K9" s="72">
        <f>MAX([2]GWCU!L13*0.3,E9)</f>
        <v>31216.802732499909</v>
      </c>
      <c r="L9" s="72">
        <f>'[2]M&amp;I COHYST Summary'!F37</f>
        <v>2474.9799999999996</v>
      </c>
      <c r="M9" s="72">
        <f>IF('[3]DS Demand'!R8&gt;0,'[3]DS Demand'!R8,0)</f>
        <v>68038.679816677584</v>
      </c>
      <c r="N9" s="72">
        <f>'[4]Instream Applied Grand Island'!K8</f>
        <v>37638.073928425409</v>
      </c>
      <c r="O9" s="72">
        <f t="shared" si="3"/>
        <v>68038.679816677584</v>
      </c>
      <c r="P9" s="19"/>
      <c r="Q9" s="73">
        <f t="shared" si="4"/>
        <v>98326.48854027722</v>
      </c>
      <c r="R9" s="73">
        <f t="shared" ref="R9:R32" si="8">K9+O9+L9</f>
        <v>101730.46254917749</v>
      </c>
      <c r="S9"/>
      <c r="T9" s="87">
        <f t="shared" si="5"/>
        <v>16050.036083337123</v>
      </c>
      <c r="U9" s="87">
        <f t="shared" si="6"/>
        <v>12646.06207443685</v>
      </c>
    </row>
    <row r="10" spans="1:40" x14ac:dyDescent="0.25">
      <c r="A10" s="38">
        <v>1990</v>
      </c>
      <c r="B10" s="146">
        <f>'[1]Capped Flow'!T9</f>
        <v>48113.999999999993</v>
      </c>
      <c r="C10" s="146">
        <f>'[1]Capped Flow'!U9</f>
        <v>84947.940000000017</v>
      </c>
      <c r="D10" s="146">
        <f t="shared" si="7"/>
        <v>36833.940000000024</v>
      </c>
      <c r="E10" s="43">
        <f>'[2]GW Depletions'!V17</f>
        <v>26702.193653581264</v>
      </c>
      <c r="G10" s="78">
        <f t="shared" si="1"/>
        <v>63536.133653581288</v>
      </c>
      <c r="H10" s="154">
        <f>'[3]Req Inflow'!N9</f>
        <v>5825.1206095422167</v>
      </c>
      <c r="I10" s="72">
        <f t="shared" si="2"/>
        <v>69361.254263123497</v>
      </c>
      <c r="K10" s="72">
        <f>MAX([2]GWCU!L14*0.3,E10)</f>
        <v>39440.102280000036</v>
      </c>
      <c r="L10" s="72">
        <f>'[2]M&amp;I COHYST Summary'!F38</f>
        <v>2510.37</v>
      </c>
      <c r="M10" s="72">
        <f>IF('[3]DS Demand'!R9&gt;0,'[3]DS Demand'!R9,0)</f>
        <v>56805.319552366112</v>
      </c>
      <c r="N10" s="72">
        <f>'[4]Instream Applied Grand Island'!K9</f>
        <v>8773.4010517626011</v>
      </c>
      <c r="O10" s="72">
        <f t="shared" si="3"/>
        <v>56805.319552366112</v>
      </c>
      <c r="P10" s="19"/>
      <c r="Q10" s="73">
        <f t="shared" si="4"/>
        <v>86017.883205947379</v>
      </c>
      <c r="R10" s="73">
        <f t="shared" si="8"/>
        <v>98755.791832366143</v>
      </c>
      <c r="S10"/>
      <c r="T10" s="87">
        <f t="shared" si="5"/>
        <v>-16656.628942823882</v>
      </c>
      <c r="U10" s="87">
        <f t="shared" si="6"/>
        <v>-29394.537569242646</v>
      </c>
    </row>
    <row r="11" spans="1:40" x14ac:dyDescent="0.25">
      <c r="A11" s="38">
        <v>1991</v>
      </c>
      <c r="B11" s="146">
        <f>'[1]Capped Flow'!T10</f>
        <v>94149.000000000044</v>
      </c>
      <c r="C11" s="146">
        <f>'[1]Capped Flow'!U10</f>
        <v>100905.94800000003</v>
      </c>
      <c r="D11" s="146">
        <f t="shared" si="7"/>
        <v>6756.9479999999894</v>
      </c>
      <c r="E11" s="43">
        <f>'[2]GW Depletions'!V18</f>
        <v>26847.573529614328</v>
      </c>
      <c r="G11" s="78">
        <f t="shared" si="1"/>
        <v>33604.521529614314</v>
      </c>
      <c r="H11" s="154">
        <f>'[3]Req Inflow'!N10</f>
        <v>0</v>
      </c>
      <c r="I11" s="72">
        <f t="shared" si="2"/>
        <v>33604.521529614314</v>
      </c>
      <c r="K11" s="72">
        <f>MAX([2]GWCU!L15*0.3,E11)</f>
        <v>44283.603717500009</v>
      </c>
      <c r="L11" s="72">
        <f>'[2]M&amp;I COHYST Summary'!F39</f>
        <v>2729.7299999999996</v>
      </c>
      <c r="M11" s="72">
        <f>IF('[3]DS Demand'!R10&gt;0,'[3]DS Demand'!R10,0)</f>
        <v>20641.707446737375</v>
      </c>
      <c r="N11" s="72">
        <f>'[4]Instream Applied Grand Island'!K10</f>
        <v>0</v>
      </c>
      <c r="O11" s="72">
        <f t="shared" si="3"/>
        <v>20641.707446737375</v>
      </c>
      <c r="P11" s="19"/>
      <c r="Q11" s="73">
        <f t="shared" si="4"/>
        <v>50219.010976351696</v>
      </c>
      <c r="R11" s="73">
        <f t="shared" si="8"/>
        <v>67655.04116423738</v>
      </c>
      <c r="S11"/>
      <c r="T11" s="87">
        <f t="shared" si="5"/>
        <v>-16614.489446737382</v>
      </c>
      <c r="U11" s="87">
        <f t="shared" si="6"/>
        <v>-34050.519634623066</v>
      </c>
    </row>
    <row r="12" spans="1:40" x14ac:dyDescent="0.25">
      <c r="A12" s="38">
        <v>1992</v>
      </c>
      <c r="B12" s="146">
        <f>'[1]Capped Flow'!T11</f>
        <v>112194.71999999993</v>
      </c>
      <c r="C12" s="146">
        <f>'[1]Capped Flow'!U11</f>
        <v>110442.42000000004</v>
      </c>
      <c r="D12" s="146">
        <f t="shared" si="7"/>
        <v>-1752.2999999998865</v>
      </c>
      <c r="E12" s="43">
        <f>'[2]GW Depletions'!V19</f>
        <v>25773.74528466483</v>
      </c>
      <c r="G12" s="78">
        <f t="shared" si="1"/>
        <v>24021.445284664944</v>
      </c>
      <c r="H12" s="154">
        <f>'[3]Req Inflow'!N11</f>
        <v>64508.065313231426</v>
      </c>
      <c r="I12" s="72">
        <f t="shared" si="2"/>
        <v>88529.510597896369</v>
      </c>
      <c r="K12" s="72">
        <f>MAX([2]GWCU!L16*0.3,E12)</f>
        <v>34364.955267500045</v>
      </c>
      <c r="L12" s="72">
        <f>'[2]M&amp;I COHYST Summary'!F40</f>
        <v>2793.1099999999988</v>
      </c>
      <c r="M12" s="72">
        <f>IF('[3]DS Demand'!R11&gt;0,'[3]DS Demand'!R11,0)</f>
        <v>69389.29873426228</v>
      </c>
      <c r="N12" s="72">
        <f>'[4]Instream Applied Grand Island'!K11</f>
        <v>69389.29873426228</v>
      </c>
      <c r="O12" s="72">
        <f t="shared" si="3"/>
        <v>69389.29873426228</v>
      </c>
      <c r="P12" s="19"/>
      <c r="Q12" s="73">
        <f t="shared" si="4"/>
        <v>97956.154018927118</v>
      </c>
      <c r="R12" s="73">
        <f t="shared" si="8"/>
        <v>106547.36400176233</v>
      </c>
      <c r="S12"/>
      <c r="T12" s="87">
        <f t="shared" si="5"/>
        <v>-9426.6434210307489</v>
      </c>
      <c r="U12" s="87">
        <f t="shared" si="6"/>
        <v>-18017.853403865956</v>
      </c>
    </row>
    <row r="13" spans="1:40" x14ac:dyDescent="0.25">
      <c r="A13" s="38">
        <v>1993</v>
      </c>
      <c r="B13" s="146">
        <f>'[1]Capped Flow'!T12</f>
        <v>227668.32000000004</v>
      </c>
      <c r="C13" s="146">
        <f>'[1]Capped Flow'!U12</f>
        <v>303308.2799999998</v>
      </c>
      <c r="D13" s="146">
        <f t="shared" si="7"/>
        <v>75639.959999999759</v>
      </c>
      <c r="E13" s="43">
        <f>'[2]GW Depletions'!V20</f>
        <v>36509.788758034898</v>
      </c>
      <c r="G13" s="78">
        <f t="shared" si="1"/>
        <v>112149.74875803466</v>
      </c>
      <c r="H13" s="154">
        <f>'[3]Req Inflow'!N12</f>
        <v>93596.974530611566</v>
      </c>
      <c r="I13" s="72">
        <f t="shared" si="2"/>
        <v>205746.72328864623</v>
      </c>
      <c r="K13" s="72">
        <f>MAX([2]GWCU!L17*0.3,E13)</f>
        <v>36509.788758034898</v>
      </c>
      <c r="L13" s="72">
        <f>'[2]M&amp;I COHYST Summary'!F41</f>
        <v>2824.7500000000005</v>
      </c>
      <c r="M13" s="72">
        <f>IF('[3]DS Demand'!R12&gt;0,'[3]DS Demand'!R12,0)</f>
        <v>113625.426075642</v>
      </c>
      <c r="N13" s="72">
        <f>'[4]Instream Applied Grand Island'!K12</f>
        <v>113625.426075642</v>
      </c>
      <c r="O13" s="72">
        <f t="shared" si="3"/>
        <v>113625.426075642</v>
      </c>
      <c r="P13" s="19"/>
      <c r="Q13" s="73">
        <f t="shared" si="4"/>
        <v>152959.9648336769</v>
      </c>
      <c r="R13" s="73">
        <f t="shared" si="8"/>
        <v>152959.9648336769</v>
      </c>
      <c r="S13"/>
      <c r="T13" s="87">
        <f t="shared" si="5"/>
        <v>52786.758454969327</v>
      </c>
      <c r="U13" s="87">
        <f t="shared" si="6"/>
        <v>52786.758454969327</v>
      </c>
    </row>
    <row r="14" spans="1:40" x14ac:dyDescent="0.25">
      <c r="A14" s="38">
        <v>1994</v>
      </c>
      <c r="B14" s="146">
        <f>'[1]Capped Flow'!T13</f>
        <v>115491.42</v>
      </c>
      <c r="C14" s="146">
        <f>'[1]Capped Flow'!U13</f>
        <v>159455.33999999994</v>
      </c>
      <c r="D14" s="146">
        <f t="shared" si="7"/>
        <v>43963.91999999994</v>
      </c>
      <c r="E14" s="43">
        <f>'[2]GW Depletions'!V21</f>
        <v>32234.025449954082</v>
      </c>
      <c r="G14" s="78">
        <f t="shared" si="1"/>
        <v>76197.945449954015</v>
      </c>
      <c r="H14" s="154">
        <f>'[3]Req Inflow'!N13</f>
        <v>46924.427033932225</v>
      </c>
      <c r="I14" s="72">
        <f t="shared" si="2"/>
        <v>123122.37248388624</v>
      </c>
      <c r="K14" s="72">
        <f>MAX([2]GWCU!L18*0.3,E14)</f>
        <v>33741.216507500023</v>
      </c>
      <c r="L14" s="72">
        <f>'[2]M&amp;I COHYST Summary'!F42</f>
        <v>2853.63</v>
      </c>
      <c r="M14" s="72">
        <f>IF('[3]DS Demand'!R13&gt;0,'[3]DS Demand'!R13,0)</f>
        <v>59491.589137595482</v>
      </c>
      <c r="N14" s="72">
        <f>'[4]Instream Applied Grand Island'!K13</f>
        <v>59491.589137595482</v>
      </c>
      <c r="O14" s="72">
        <f t="shared" si="3"/>
        <v>59491.589137595482</v>
      </c>
      <c r="P14" s="19"/>
      <c r="Q14" s="73">
        <f t="shared" si="4"/>
        <v>94579.244587549561</v>
      </c>
      <c r="R14" s="73">
        <f t="shared" si="8"/>
        <v>96086.435645095509</v>
      </c>
      <c r="S14"/>
      <c r="T14" s="87">
        <f t="shared" si="5"/>
        <v>28543.127896336679</v>
      </c>
      <c r="U14" s="87">
        <f t="shared" si="6"/>
        <v>27035.936838790731</v>
      </c>
    </row>
    <row r="15" spans="1:40" x14ac:dyDescent="0.25">
      <c r="A15" s="38">
        <v>1995</v>
      </c>
      <c r="B15" s="146">
        <f>'[1]Capped Flow'!T14</f>
        <v>602965.44000000006</v>
      </c>
      <c r="C15" s="146">
        <f>'[1]Capped Flow'!U14</f>
        <v>668911.320000001</v>
      </c>
      <c r="D15" s="146">
        <f t="shared" si="7"/>
        <v>65945.880000000936</v>
      </c>
      <c r="E15" s="43">
        <f>'[2]GW Depletions'!V22</f>
        <v>31487.515747245176</v>
      </c>
      <c r="G15" s="78">
        <f t="shared" si="1"/>
        <v>97433.395747246104</v>
      </c>
      <c r="H15" s="154">
        <f>'[3]Req Inflow'!N14</f>
        <v>37034.985204217635</v>
      </c>
      <c r="I15" s="72">
        <f t="shared" si="2"/>
        <v>134468.38095146374</v>
      </c>
      <c r="K15" s="72">
        <f>MAX([2]GWCU!L19*0.3,E15)</f>
        <v>36124.207515000031</v>
      </c>
      <c r="L15" s="72">
        <f>'[2]M&amp;I COHYST Summary'!F43</f>
        <v>2887.849999999999</v>
      </c>
      <c r="M15" s="72">
        <f>IF('[3]DS Demand'!R14&gt;0,'[3]DS Demand'!R14,0)</f>
        <v>40697.813568956975</v>
      </c>
      <c r="N15" s="72">
        <f>'[4]Instream Applied Grand Island'!K14</f>
        <v>40697.813568956975</v>
      </c>
      <c r="O15" s="72">
        <f t="shared" si="3"/>
        <v>40697.813568956975</v>
      </c>
      <c r="P15" s="19"/>
      <c r="Q15" s="73">
        <f t="shared" si="4"/>
        <v>75073.179316202149</v>
      </c>
      <c r="R15" s="73">
        <f t="shared" si="8"/>
        <v>79709.871083957012</v>
      </c>
      <c r="S15"/>
      <c r="T15" s="87">
        <f t="shared" si="5"/>
        <v>59395.20163526159</v>
      </c>
      <c r="U15" s="87">
        <f t="shared" si="6"/>
        <v>54758.509867506727</v>
      </c>
    </row>
    <row r="16" spans="1:40" x14ac:dyDescent="0.25">
      <c r="A16" s="38">
        <v>1996</v>
      </c>
      <c r="B16" s="146">
        <f>'[1]Capped Flow'!T15</f>
        <v>281221.38</v>
      </c>
      <c r="C16" s="146">
        <f>'[1]Capped Flow'!U15</f>
        <v>412234.02000000014</v>
      </c>
      <c r="D16" s="146">
        <f t="shared" si="7"/>
        <v>131012.64000000013</v>
      </c>
      <c r="E16" s="43">
        <f>'[2]GW Depletions'!V23</f>
        <v>30793.794086317721</v>
      </c>
      <c r="G16" s="78">
        <f t="shared" si="1"/>
        <v>161806.43408631784</v>
      </c>
      <c r="H16" s="154">
        <f>'[3]Req Inflow'!N15</f>
        <v>82626.887395986181</v>
      </c>
      <c r="I16" s="72">
        <f t="shared" si="2"/>
        <v>244433.32148230402</v>
      </c>
      <c r="K16" s="72">
        <f>MAX([2]GWCU!L20*0.3,E16)</f>
        <v>30793.794086317721</v>
      </c>
      <c r="L16" s="72">
        <f>'[2]M&amp;I COHYST Summary'!F44</f>
        <v>2916.9500000000016</v>
      </c>
      <c r="M16" s="72">
        <f>IF('[3]DS Demand'!R15&gt;0,'[3]DS Demand'!R15,0)</f>
        <v>106675.21296552895</v>
      </c>
      <c r="N16" s="72">
        <f>'[4]Instream Applied Grand Island'!K15</f>
        <v>106675.21296552895</v>
      </c>
      <c r="O16" s="72">
        <f t="shared" si="3"/>
        <v>106675.21296552895</v>
      </c>
      <c r="P16" s="19"/>
      <c r="Q16" s="73">
        <f t="shared" si="4"/>
        <v>140385.95705184666</v>
      </c>
      <c r="R16" s="73">
        <f t="shared" si="8"/>
        <v>140385.95705184666</v>
      </c>
      <c r="S16"/>
      <c r="T16" s="87">
        <f t="shared" si="5"/>
        <v>104047.36443045735</v>
      </c>
      <c r="U16" s="87">
        <f t="shared" si="6"/>
        <v>104047.36443045735</v>
      </c>
    </row>
    <row r="17" spans="1:21" x14ac:dyDescent="0.25">
      <c r="A17" s="38">
        <v>1997</v>
      </c>
      <c r="B17" s="146">
        <f>'[1]Capped Flow'!T16</f>
        <v>407895.84</v>
      </c>
      <c r="C17" s="146">
        <f>'[1]Capped Flow'!U16</f>
        <v>438740.28000000009</v>
      </c>
      <c r="D17" s="146">
        <f t="shared" si="7"/>
        <v>30844.440000000061</v>
      </c>
      <c r="E17" s="43">
        <f>'[2]GW Depletions'!V24</f>
        <v>30657.951594352617</v>
      </c>
      <c r="G17" s="78">
        <f t="shared" si="1"/>
        <v>61502.391594352681</v>
      </c>
      <c r="H17" s="154">
        <f>'[3]Req Inflow'!N16</f>
        <v>46120.64495329179</v>
      </c>
      <c r="I17" s="72">
        <f t="shared" si="2"/>
        <v>107623.03654764447</v>
      </c>
      <c r="K17" s="72">
        <f>MAX([2]GWCU!L21*0.3,E17)</f>
        <v>37434.225215000013</v>
      </c>
      <c r="L17" s="72">
        <f>'[2]M&amp;I COHYST Summary'!F45</f>
        <v>2946.27</v>
      </c>
      <c r="M17" s="72">
        <f>IF('[3]DS Demand'!R16&gt;0,'[3]DS Demand'!R16,0)</f>
        <v>49483.533721842046</v>
      </c>
      <c r="N17" s="72">
        <f>'[4]Instream Applied Grand Island'!K16</f>
        <v>49483.533721842046</v>
      </c>
      <c r="O17" s="72">
        <f t="shared" si="3"/>
        <v>49483.533721842046</v>
      </c>
      <c r="P17" s="19"/>
      <c r="Q17" s="73">
        <f t="shared" si="4"/>
        <v>83087.755316194671</v>
      </c>
      <c r="R17" s="73">
        <f t="shared" si="8"/>
        <v>89864.028936842064</v>
      </c>
      <c r="S17"/>
      <c r="T17" s="87">
        <f t="shared" si="5"/>
        <v>24535.281231449801</v>
      </c>
      <c r="U17" s="87">
        <f t="shared" si="6"/>
        <v>17759.007610802408</v>
      </c>
    </row>
    <row r="18" spans="1:21" x14ac:dyDescent="0.25">
      <c r="A18" s="38">
        <v>1998</v>
      </c>
      <c r="B18" s="146">
        <f>'[1]Capped Flow'!T17</f>
        <v>230796.72000000003</v>
      </c>
      <c r="C18" s="146">
        <f>'[1]Capped Flow'!U17</f>
        <v>332010.36</v>
      </c>
      <c r="D18" s="146">
        <f t="shared" si="7"/>
        <v>101213.63999999996</v>
      </c>
      <c r="E18" s="43">
        <f>'[2]GW Depletions'!V25</f>
        <v>30132.481038797057</v>
      </c>
      <c r="G18" s="78">
        <f t="shared" si="1"/>
        <v>131346.12103879702</v>
      </c>
      <c r="H18" s="154">
        <f>'[3]Req Inflow'!N17</f>
        <v>49477.993573637315</v>
      </c>
      <c r="I18" s="72">
        <f t="shared" si="2"/>
        <v>180824.11461243435</v>
      </c>
      <c r="K18" s="72">
        <f>MAX([2]GWCU!L22*0.3,E18)</f>
        <v>30132.481038797057</v>
      </c>
      <c r="L18" s="72">
        <f>'[2]M&amp;I COHYST Summary'!F46</f>
        <v>2972.0899999999997</v>
      </c>
      <c r="M18" s="72">
        <f>IF('[3]DS Demand'!R17&gt;0,'[3]DS Demand'!R17,0)</f>
        <v>67349.651121338989</v>
      </c>
      <c r="N18" s="72">
        <f>'[4]Instream Applied Grand Island'!K17</f>
        <v>67349.651121338989</v>
      </c>
      <c r="O18" s="72">
        <f t="shared" si="3"/>
        <v>67349.651121338989</v>
      </c>
      <c r="P18" s="19"/>
      <c r="Q18" s="73">
        <f t="shared" si="4"/>
        <v>100454.22216013604</v>
      </c>
      <c r="R18" s="73">
        <f t="shared" si="8"/>
        <v>100454.22216013604</v>
      </c>
      <c r="S18"/>
      <c r="T18" s="87">
        <f t="shared" si="5"/>
        <v>80369.892452298314</v>
      </c>
      <c r="U18" s="87">
        <f t="shared" si="6"/>
        <v>80369.892452298314</v>
      </c>
    </row>
    <row r="19" spans="1:21" x14ac:dyDescent="0.25">
      <c r="A19" s="38">
        <v>1999</v>
      </c>
      <c r="B19" s="146">
        <f>'[1]Capped Flow'!T18</f>
        <v>545822.6399999999</v>
      </c>
      <c r="C19" s="146">
        <f>'[1]Capped Flow'!U18</f>
        <v>610275.60000000068</v>
      </c>
      <c r="D19" s="146">
        <f t="shared" si="7"/>
        <v>64452.960000000778</v>
      </c>
      <c r="E19" s="43">
        <f>'[2]GW Depletions'!V26</f>
        <v>29533.726891643713</v>
      </c>
      <c r="G19" s="78">
        <f t="shared" si="1"/>
        <v>93986.686891644495</v>
      </c>
      <c r="H19" s="154">
        <f>'[3]Req Inflow'!N18</f>
        <v>81491.101049854013</v>
      </c>
      <c r="I19" s="72">
        <f t="shared" si="2"/>
        <v>175477.78794149851</v>
      </c>
      <c r="K19" s="72">
        <f>MAX([2]GWCU!L23*0.3,E19)</f>
        <v>29533.726891643713</v>
      </c>
      <c r="L19" s="72">
        <f>'[2]M&amp;I COHYST Summary'!F47</f>
        <v>3001.1000000000004</v>
      </c>
      <c r="M19" s="72">
        <f>IF('[3]DS Demand'!R18&gt;0,'[3]DS Demand'!R18,0)</f>
        <v>89432.713040973002</v>
      </c>
      <c r="N19" s="72">
        <f>'[4]Instream Applied Grand Island'!K18</f>
        <v>89432.713040973002</v>
      </c>
      <c r="O19" s="72">
        <f t="shared" si="3"/>
        <v>89432.713040973002</v>
      </c>
      <c r="P19" s="19"/>
      <c r="Q19" s="73">
        <f t="shared" si="4"/>
        <v>121967.53993261672</v>
      </c>
      <c r="R19" s="73">
        <f t="shared" si="8"/>
        <v>121967.53993261672</v>
      </c>
      <c r="S19"/>
      <c r="T19" s="87">
        <f t="shared" si="5"/>
        <v>53510.248008881783</v>
      </c>
      <c r="U19" s="87">
        <f t="shared" si="6"/>
        <v>53510.248008881783</v>
      </c>
    </row>
    <row r="20" spans="1:21" x14ac:dyDescent="0.25">
      <c r="A20" s="38">
        <v>2000</v>
      </c>
      <c r="B20" s="146">
        <f>'[1]Capped Flow'!T19</f>
        <v>167755.49999999997</v>
      </c>
      <c r="C20" s="146">
        <f>'[1]Capped Flow'!U19</f>
        <v>185660.63999999998</v>
      </c>
      <c r="D20" s="146">
        <f t="shared" si="7"/>
        <v>17905.140000000014</v>
      </c>
      <c r="E20" s="43">
        <f>'[2]GW Depletions'!V27</f>
        <v>31129.044748622589</v>
      </c>
      <c r="G20" s="78">
        <f t="shared" si="1"/>
        <v>49034.184748622603</v>
      </c>
      <c r="H20" s="154">
        <f>'[3]Req Inflow'!N19</f>
        <v>2524.8078476561882</v>
      </c>
      <c r="I20" s="72">
        <f t="shared" si="2"/>
        <v>51558.992596278789</v>
      </c>
      <c r="K20" s="72">
        <f>MAX([2]GWCU!L24*0.3,E20)</f>
        <v>33938.700144999937</v>
      </c>
      <c r="L20" s="72">
        <f>'[2]M&amp;I COHYST Summary'!F48</f>
        <v>3229.7200000000007</v>
      </c>
      <c r="M20" s="72">
        <f>IF('[3]DS Demand'!R19&gt;0,'[3]DS Demand'!R19,0)</f>
        <v>51299.221583529004</v>
      </c>
      <c r="N20" s="72">
        <f>'[4]Instream Applied Grand Island'!K19</f>
        <v>3287.7475692178705</v>
      </c>
      <c r="O20" s="72">
        <f t="shared" si="3"/>
        <v>51299.221583529004</v>
      </c>
      <c r="P20" s="19"/>
      <c r="Q20" s="73">
        <f t="shared" si="4"/>
        <v>85657.986332151602</v>
      </c>
      <c r="R20" s="73">
        <f t="shared" si="8"/>
        <v>88467.64172852895</v>
      </c>
      <c r="S20"/>
      <c r="T20" s="87">
        <f t="shared" si="5"/>
        <v>-34098.993735872813</v>
      </c>
      <c r="U20" s="87">
        <f t="shared" si="6"/>
        <v>-36908.649132250161</v>
      </c>
    </row>
    <row r="21" spans="1:21" x14ac:dyDescent="0.25">
      <c r="A21" s="38">
        <v>2001</v>
      </c>
      <c r="B21" s="146">
        <f>'[1]Capped Flow'!T20</f>
        <v>119431.62</v>
      </c>
      <c r="C21" s="146">
        <f>'[1]Capped Flow'!U20</f>
        <v>135034.01999999999</v>
      </c>
      <c r="D21" s="146">
        <f t="shared" si="7"/>
        <v>15602.399999999994</v>
      </c>
      <c r="E21" s="43">
        <f>'[2]GW Depletions'!V28</f>
        <v>31268.130555555555</v>
      </c>
      <c r="G21" s="78">
        <f t="shared" si="1"/>
        <v>46870.530555555553</v>
      </c>
      <c r="H21" s="154">
        <f>'[3]Req Inflow'!N20</f>
        <v>41513.383853732688</v>
      </c>
      <c r="I21" s="72">
        <f t="shared" si="2"/>
        <v>88383.914409288234</v>
      </c>
      <c r="K21" s="72">
        <f>MAX([2]GWCU!L25*0.3,E21)</f>
        <v>31268.130555555555</v>
      </c>
      <c r="L21" s="72">
        <f>'[2]M&amp;I COHYST Summary'!F49</f>
        <v>3280.4</v>
      </c>
      <c r="M21" s="72">
        <f>IF('[3]DS Demand'!R20&gt;0,'[3]DS Demand'!R20,0)</f>
        <v>50379.155993970373</v>
      </c>
      <c r="N21" s="72">
        <f>'[4]Instream Applied Grand Island'!K20</f>
        <v>50379.155993970373</v>
      </c>
      <c r="O21" s="72">
        <f t="shared" si="3"/>
        <v>50379.155993970373</v>
      </c>
      <c r="P21" s="19"/>
      <c r="Q21" s="73">
        <f t="shared" si="4"/>
        <v>84927.686549525926</v>
      </c>
      <c r="R21" s="73">
        <f t="shared" si="8"/>
        <v>84927.686549525926</v>
      </c>
      <c r="S21"/>
      <c r="T21" s="87">
        <f t="shared" si="5"/>
        <v>3456.2278597623081</v>
      </c>
      <c r="U21" s="87">
        <f t="shared" si="6"/>
        <v>3456.2278597623081</v>
      </c>
    </row>
    <row r="22" spans="1:21" x14ac:dyDescent="0.25">
      <c r="A22" s="38">
        <v>2002</v>
      </c>
      <c r="B22" s="146">
        <f>'[1]Capped Flow'!T21</f>
        <v>37859.777999999991</v>
      </c>
      <c r="C22" s="146">
        <f>'[1]Capped Flow'!U21</f>
        <v>16733.752200000006</v>
      </c>
      <c r="D22" s="146">
        <f t="shared" si="7"/>
        <v>-21126.025799999985</v>
      </c>
      <c r="E22" s="43">
        <f>'[2]GW Depletions'!V29</f>
        <v>33293.572195821856</v>
      </c>
      <c r="G22" s="78">
        <f t="shared" si="1"/>
        <v>12167.546395821872</v>
      </c>
      <c r="H22" s="154">
        <f>'[3]Req Inflow'!N21</f>
        <v>0</v>
      </c>
      <c r="I22" s="72">
        <f t="shared" si="2"/>
        <v>12167.546395821872</v>
      </c>
      <c r="K22" s="72">
        <f>MAX([2]GWCU!L26*0.3,E22)</f>
        <v>55440.45261249991</v>
      </c>
      <c r="L22" s="72">
        <f>'[2]M&amp;I COHYST Summary'!F50</f>
        <v>3321.0500000000011</v>
      </c>
      <c r="M22" s="72">
        <f>IF('[3]DS Demand'!R21&gt;0,'[3]DS Demand'!R21,0)</f>
        <v>25065.457516237595</v>
      </c>
      <c r="N22" s="72">
        <f>'[4]Instream Applied Grand Island'!K21</f>
        <v>0</v>
      </c>
      <c r="O22" s="72">
        <f t="shared" si="3"/>
        <v>25065.457516237595</v>
      </c>
      <c r="P22" s="19"/>
      <c r="Q22" s="73">
        <f t="shared" si="4"/>
        <v>61680.079712059451</v>
      </c>
      <c r="R22" s="73">
        <f t="shared" si="8"/>
        <v>83826.960128737512</v>
      </c>
      <c r="S22"/>
      <c r="T22" s="87">
        <f t="shared" si="5"/>
        <v>-49512.533316237575</v>
      </c>
      <c r="U22" s="87">
        <f t="shared" si="6"/>
        <v>-71659.413732915637</v>
      </c>
    </row>
    <row r="23" spans="1:21" x14ac:dyDescent="0.25">
      <c r="A23" s="38">
        <v>2003</v>
      </c>
      <c r="B23" s="146">
        <f>'[1]Capped Flow'!T22</f>
        <v>7644.7800000000025</v>
      </c>
      <c r="C23" s="146">
        <f>'[1]Capped Flow'!U22</f>
        <v>29318.256000000001</v>
      </c>
      <c r="D23" s="146">
        <f t="shared" si="7"/>
        <v>21673.475999999999</v>
      </c>
      <c r="E23" s="43">
        <f>'[2]GW Depletions'!V30</f>
        <v>31171.23574724518</v>
      </c>
      <c r="G23" s="78">
        <f t="shared" si="1"/>
        <v>52844.711747245179</v>
      </c>
      <c r="H23" s="154">
        <f>'[3]Req Inflow'!N22</f>
        <v>3635.2663112416367</v>
      </c>
      <c r="I23" s="72">
        <f t="shared" si="2"/>
        <v>56479.978058486813</v>
      </c>
      <c r="K23" s="72">
        <f>MAX([2]GWCU!L27*0.3,E23)</f>
        <v>42538.756612500052</v>
      </c>
      <c r="L23" s="72">
        <f>'[2]M&amp;I COHYST Summary'!F51</f>
        <v>3360.7400000000007</v>
      </c>
      <c r="M23" s="72">
        <f>IF('[3]DS Demand'!R22&gt;0,'[3]DS Demand'!R22,0)</f>
        <v>52280.411323134191</v>
      </c>
      <c r="N23" s="72">
        <f>'[4]Instream Applied Grand Island'!K22</f>
        <v>5201.3164612062683</v>
      </c>
      <c r="O23" s="72">
        <f t="shared" si="3"/>
        <v>52280.411323134191</v>
      </c>
      <c r="P23" s="19"/>
      <c r="Q23" s="73">
        <f t="shared" si="4"/>
        <v>86812.38707037938</v>
      </c>
      <c r="R23" s="73">
        <f t="shared" si="8"/>
        <v>98179.907935634241</v>
      </c>
      <c r="S23"/>
      <c r="T23" s="87">
        <f t="shared" si="5"/>
        <v>-30332.409011892567</v>
      </c>
      <c r="U23" s="87">
        <f t="shared" si="6"/>
        <v>-41699.929877147428</v>
      </c>
    </row>
    <row r="24" spans="1:21" x14ac:dyDescent="0.25">
      <c r="A24" s="38">
        <v>2004</v>
      </c>
      <c r="B24" s="146">
        <f>'[1]Capped Flow'!T23</f>
        <v>5578.0560000000014</v>
      </c>
      <c r="C24" s="146">
        <f>'[1]Capped Flow'!U23</f>
        <v>6046.3062000000009</v>
      </c>
      <c r="D24" s="146">
        <f t="shared" si="7"/>
        <v>468.2501999999995</v>
      </c>
      <c r="E24" s="43">
        <f>'[2]GW Depletions'!V31</f>
        <v>29659.461520890727</v>
      </c>
      <c r="G24" s="78">
        <f t="shared" si="1"/>
        <v>30127.711720890726</v>
      </c>
      <c r="H24" s="154">
        <f>'[3]Req Inflow'!N23</f>
        <v>16483.726958146628</v>
      </c>
      <c r="I24" s="72">
        <f t="shared" si="2"/>
        <v>46611.438679037354</v>
      </c>
      <c r="K24" s="72">
        <f>MAX([2]GWCU!L28*0.3,E24)</f>
        <v>33321.741232500026</v>
      </c>
      <c r="L24" s="72">
        <f>'[2]M&amp;I COHYST Summary'!F52</f>
        <v>3405.7799999999984</v>
      </c>
      <c r="M24" s="72">
        <f>IF('[3]DS Demand'!R23&gt;0,'[3]DS Demand'!R23,0)</f>
        <v>26954.936581834223</v>
      </c>
      <c r="N24" s="72">
        <f>'[4]Instream Applied Grand Island'!K23</f>
        <v>19886.984269029868</v>
      </c>
      <c r="O24" s="72">
        <f t="shared" si="3"/>
        <v>26954.936581834223</v>
      </c>
      <c r="P24" s="19"/>
      <c r="Q24" s="73">
        <f t="shared" si="4"/>
        <v>60020.178102724953</v>
      </c>
      <c r="R24" s="73">
        <f t="shared" si="8"/>
        <v>63682.457814334251</v>
      </c>
      <c r="S24"/>
      <c r="T24" s="87">
        <f t="shared" si="5"/>
        <v>-13408.739423687599</v>
      </c>
      <c r="U24" s="87">
        <f t="shared" si="6"/>
        <v>-17071.019135296898</v>
      </c>
    </row>
    <row r="25" spans="1:21" x14ac:dyDescent="0.25">
      <c r="A25" s="38">
        <v>2005</v>
      </c>
      <c r="B25" s="146">
        <f>'[1]Capped Flow'!T24</f>
        <v>75844.493999999992</v>
      </c>
      <c r="C25" s="146">
        <f>'[1]Capped Flow'!U24</f>
        <v>74360.899800000028</v>
      </c>
      <c r="D25" s="146">
        <f t="shared" si="7"/>
        <v>-1483.5941999999632</v>
      </c>
      <c r="E25" s="43">
        <f>'[2]GW Depletions'!V32</f>
        <v>28771.407584940313</v>
      </c>
      <c r="G25" s="78">
        <f t="shared" si="1"/>
        <v>27287.813384940349</v>
      </c>
      <c r="H25" s="154">
        <f>'[3]Req Inflow'!N24</f>
        <v>37519.819312809552</v>
      </c>
      <c r="I25" s="72">
        <f t="shared" si="2"/>
        <v>64807.632697749897</v>
      </c>
      <c r="K25" s="72">
        <f>MAX([2]GWCU!L29*0.3,E25)</f>
        <v>37831.373087500055</v>
      </c>
      <c r="L25" s="72">
        <f>'[2]M&amp;I COHYST Summary'!F53</f>
        <v>3495.27</v>
      </c>
      <c r="M25" s="72">
        <f>IF('[3]DS Demand'!R24&gt;0,'[3]DS Demand'!R24,0)</f>
        <v>40822.688842733347</v>
      </c>
      <c r="N25" s="72">
        <f>'[4]Instream Applied Grand Island'!K24</f>
        <v>40822.688842733347</v>
      </c>
      <c r="O25" s="72">
        <f t="shared" si="3"/>
        <v>40822.688842733347</v>
      </c>
      <c r="P25" s="19"/>
      <c r="Q25" s="73">
        <f t="shared" si="4"/>
        <v>73089.366427673667</v>
      </c>
      <c r="R25" s="73">
        <f t="shared" si="8"/>
        <v>82149.331930233413</v>
      </c>
      <c r="S25"/>
      <c r="T25" s="87">
        <f t="shared" si="5"/>
        <v>-8281.7337299237697</v>
      </c>
      <c r="U25" s="87">
        <f t="shared" si="6"/>
        <v>-17341.699232483516</v>
      </c>
    </row>
    <row r="26" spans="1:21" x14ac:dyDescent="0.25">
      <c r="A26" s="38">
        <v>2006</v>
      </c>
      <c r="B26" s="146">
        <f>'[1]Capped Flow'!T25</f>
        <v>5749.9199999999919</v>
      </c>
      <c r="C26" s="146">
        <f>'[1]Capped Flow'!U25</f>
        <v>9360.9450000000015</v>
      </c>
      <c r="D26" s="146">
        <f t="shared" si="7"/>
        <v>3611.0250000000096</v>
      </c>
      <c r="E26" s="43">
        <f>'[2]GW Depletions'!V33</f>
        <v>27291.613813131313</v>
      </c>
      <c r="G26" s="78">
        <f t="shared" si="1"/>
        <v>30902.638813131322</v>
      </c>
      <c r="H26" s="154">
        <f>'[3]Req Inflow'!N25</f>
        <v>15473.003435566125</v>
      </c>
      <c r="I26" s="72">
        <f t="shared" si="2"/>
        <v>46375.642248697448</v>
      </c>
      <c r="K26" s="72">
        <f>MAX([2]GWCU!L30*0.3,E26)</f>
        <v>29130.891397499996</v>
      </c>
      <c r="L26" s="72">
        <f>'[2]M&amp;I COHYST Summary'!F54</f>
        <v>3495.27</v>
      </c>
      <c r="M26" s="72">
        <f>IF('[3]DS Demand'!R25&gt;0,'[3]DS Demand'!R25,0)</f>
        <v>34068.942006898105</v>
      </c>
      <c r="N26" s="72">
        <f>'[4]Instream Applied Grand Island'!K25</f>
        <v>21402.06037449291</v>
      </c>
      <c r="O26" s="72">
        <f t="shared" si="3"/>
        <v>34068.942006898105</v>
      </c>
      <c r="P26" s="19"/>
      <c r="Q26" s="73">
        <f t="shared" si="4"/>
        <v>64855.825820029415</v>
      </c>
      <c r="R26" s="73">
        <f t="shared" si="8"/>
        <v>66695.103404398105</v>
      </c>
      <c r="S26"/>
      <c r="T26" s="87">
        <f t="shared" si="5"/>
        <v>-18480.183571331967</v>
      </c>
      <c r="U26" s="87">
        <f t="shared" si="6"/>
        <v>-20319.461155700657</v>
      </c>
    </row>
    <row r="27" spans="1:21" x14ac:dyDescent="0.25">
      <c r="A27" s="38">
        <v>2007</v>
      </c>
      <c r="B27" s="146">
        <f>'[1]Capped Flow'!T26</f>
        <v>167062.49999999997</v>
      </c>
      <c r="C27" s="146">
        <f>'[1]Capped Flow'!U26</f>
        <v>247456.44000000006</v>
      </c>
      <c r="D27" s="146">
        <f t="shared" si="7"/>
        <v>80393.94000000009</v>
      </c>
      <c r="E27" s="43">
        <f>'[2]GW Depletions'!V34</f>
        <v>33159.758432047747</v>
      </c>
      <c r="G27" s="78">
        <f t="shared" si="1"/>
        <v>113553.69843204784</v>
      </c>
      <c r="H27" s="154">
        <f>'[3]Req Inflow'!N26</f>
        <v>55905.735373935895</v>
      </c>
      <c r="I27" s="72">
        <f t="shared" si="2"/>
        <v>169459.43380598375</v>
      </c>
      <c r="K27" s="72">
        <f>MAX([2]GWCU!L31*0.3,E27)</f>
        <v>33159.758432047747</v>
      </c>
      <c r="L27" s="72">
        <f>'[2]M&amp;I COHYST Summary'!F55</f>
        <v>3495.27</v>
      </c>
      <c r="M27" s="72">
        <f>IF('[3]DS Demand'!R26&gt;0,'[3]DS Demand'!R26,0)</f>
        <v>72529.555775301022</v>
      </c>
      <c r="N27" s="72">
        <f>'[4]Instream Applied Grand Island'!K26</f>
        <v>72529.555775301022</v>
      </c>
      <c r="O27" s="72">
        <f t="shared" si="3"/>
        <v>72529.555775301022</v>
      </c>
      <c r="P27" s="19"/>
      <c r="Q27" s="73">
        <f t="shared" si="4"/>
        <v>109184.58420734877</v>
      </c>
      <c r="R27" s="73">
        <f t="shared" si="8"/>
        <v>109184.58420734877</v>
      </c>
      <c r="S27"/>
      <c r="T27" s="87">
        <f t="shared" si="5"/>
        <v>60274.849598634974</v>
      </c>
      <c r="U27" s="87">
        <f t="shared" si="6"/>
        <v>60274.849598634974</v>
      </c>
    </row>
    <row r="28" spans="1:21" x14ac:dyDescent="0.25">
      <c r="A28" s="38">
        <v>2008</v>
      </c>
      <c r="B28" s="146">
        <f>'[1]Capped Flow'!T27</f>
        <v>134933.04000000007</v>
      </c>
      <c r="C28" s="146">
        <f>'[1]Capped Flow'!U27</f>
        <v>302743.98000000004</v>
      </c>
      <c r="D28" s="146">
        <f t="shared" si="7"/>
        <v>167810.93999999997</v>
      </c>
      <c r="E28" s="43">
        <f>'[2]GW Depletions'!V35</f>
        <v>43044.031177685953</v>
      </c>
      <c r="G28" s="78">
        <f t="shared" si="1"/>
        <v>210854.97117768592</v>
      </c>
      <c r="H28" s="154">
        <f>'[3]Req Inflow'!N27</f>
        <v>37035.483792502288</v>
      </c>
      <c r="I28" s="72">
        <f t="shared" si="2"/>
        <v>247890.45497018821</v>
      </c>
      <c r="K28" s="72">
        <f>MAX([2]GWCU!L32*0.3,E28)</f>
        <v>43044.031177685953</v>
      </c>
      <c r="L28" s="72">
        <f>'[2]M&amp;I COHYST Summary'!F56</f>
        <v>3495.27</v>
      </c>
      <c r="M28" s="72">
        <f>IF('[3]DS Demand'!R27&gt;0,'[3]DS Demand'!R27,0)</f>
        <v>59828.478035994049</v>
      </c>
      <c r="N28" s="72">
        <f>'[4]Instream Applied Grand Island'!K27</f>
        <v>59828.478035994049</v>
      </c>
      <c r="O28" s="72">
        <f t="shared" si="3"/>
        <v>59828.478035994049</v>
      </c>
      <c r="P28" s="19"/>
      <c r="Q28" s="73">
        <f t="shared" si="4"/>
        <v>106367.77921368</v>
      </c>
      <c r="R28" s="73">
        <f t="shared" si="8"/>
        <v>106367.77921368</v>
      </c>
      <c r="S28"/>
      <c r="T28" s="87">
        <f t="shared" si="5"/>
        <v>141522.67575650819</v>
      </c>
      <c r="U28" s="87">
        <f t="shared" si="6"/>
        <v>141522.67575650819</v>
      </c>
    </row>
    <row r="29" spans="1:21" x14ac:dyDescent="0.25">
      <c r="A29" s="38">
        <v>2009</v>
      </c>
      <c r="B29" s="146">
        <f>'[1]Capped Flow'!T28</f>
        <v>108220.86000000003</v>
      </c>
      <c r="C29" s="146">
        <f>'[1]Capped Flow'!U28</f>
        <v>139081.14000000004</v>
      </c>
      <c r="D29" s="146">
        <f t="shared" si="7"/>
        <v>30860.280000000013</v>
      </c>
      <c r="E29" s="43">
        <f>'[2]GW Depletions'!V36</f>
        <v>40135.966252295686</v>
      </c>
      <c r="G29" s="78">
        <f t="shared" si="1"/>
        <v>70996.246252295707</v>
      </c>
      <c r="H29" s="154">
        <f>'[3]Req Inflow'!N28</f>
        <v>63873.563519850686</v>
      </c>
      <c r="I29" s="72">
        <f t="shared" si="2"/>
        <v>134869.8097721464</v>
      </c>
      <c r="K29" s="72">
        <f>MAX([2]GWCU!L33*0.3,E29)</f>
        <v>40238.725812590368</v>
      </c>
      <c r="L29" s="72">
        <f>'[2]M&amp;I COHYST Summary'!F57</f>
        <v>3495.27</v>
      </c>
      <c r="M29" s="72">
        <f>IF('[3]DS Demand'!R28&gt;0,'[3]DS Demand'!R28,0)</f>
        <v>74682.025624817979</v>
      </c>
      <c r="N29" s="72">
        <f>'[4]Instream Applied Grand Island'!K28</f>
        <v>74682.025624817979</v>
      </c>
      <c r="O29" s="72">
        <f t="shared" si="3"/>
        <v>74682.025624817979</v>
      </c>
      <c r="P29" s="19"/>
      <c r="Q29" s="73">
        <f t="shared" si="4"/>
        <v>118313.26187711368</v>
      </c>
      <c r="R29" s="73">
        <f t="shared" si="8"/>
        <v>118416.02143740836</v>
      </c>
      <c r="S29"/>
      <c r="T29" s="87">
        <f t="shared" si="5"/>
        <v>16556.547895032723</v>
      </c>
      <c r="U29" s="87">
        <f t="shared" si="6"/>
        <v>16453.788334738041</v>
      </c>
    </row>
    <row r="30" spans="1:21" x14ac:dyDescent="0.25">
      <c r="A30" s="38">
        <v>2010</v>
      </c>
      <c r="B30" s="146">
        <f>'[1]Capped Flow'!T29</f>
        <v>433119.06000000006</v>
      </c>
      <c r="C30" s="146">
        <f>'[1]Capped Flow'!U29</f>
        <v>504874.26000000036</v>
      </c>
      <c r="D30" s="146">
        <f t="shared" si="7"/>
        <v>71755.200000000303</v>
      </c>
      <c r="E30" s="43">
        <f>'[2]GW Depletions'!V37</f>
        <v>40505.232335858585</v>
      </c>
      <c r="G30" s="78">
        <f t="shared" si="1"/>
        <v>112260.43233585889</v>
      </c>
      <c r="H30" s="154">
        <f>'[3]Req Inflow'!N29</f>
        <v>86594.336298527764</v>
      </c>
      <c r="I30" s="72">
        <f t="shared" si="2"/>
        <v>198854.76863438665</v>
      </c>
      <c r="K30" s="72">
        <f>MAX([2]GWCU!L34*0.3,E30)</f>
        <v>46137.419712254348</v>
      </c>
      <c r="L30" s="72">
        <f>'[2]M&amp;I COHYST Summary'!F58</f>
        <v>3495.27</v>
      </c>
      <c r="M30" s="72">
        <f>IF('[3]DS Demand'!R29&gt;0,'[3]DS Demand'!R29,0)</f>
        <v>95614.174888079986</v>
      </c>
      <c r="N30" s="72">
        <f>'[4]Instream Applied Grand Island'!K29</f>
        <v>95614.174888079986</v>
      </c>
      <c r="O30" s="72">
        <f t="shared" si="3"/>
        <v>95614.174888079986</v>
      </c>
      <c r="P30" s="19"/>
      <c r="Q30" s="73">
        <f t="shared" si="4"/>
        <v>139614.67722393855</v>
      </c>
      <c r="R30" s="73">
        <f t="shared" si="8"/>
        <v>145246.86460033432</v>
      </c>
      <c r="S30"/>
      <c r="T30" s="87">
        <f t="shared" si="5"/>
        <v>59240.091410448105</v>
      </c>
      <c r="U30" s="87">
        <f t="shared" si="6"/>
        <v>53607.904034052335</v>
      </c>
    </row>
    <row r="31" spans="1:21" x14ac:dyDescent="0.25">
      <c r="A31" s="38">
        <v>2011</v>
      </c>
      <c r="B31" s="146">
        <f>'[1]Capped Flow'!T30</f>
        <v>791267.4</v>
      </c>
      <c r="C31" s="146">
        <f>'[1]Capped Flow'!U30</f>
        <v>849558.60000000137</v>
      </c>
      <c r="D31" s="146">
        <f t="shared" si="7"/>
        <v>58291.20000000135</v>
      </c>
      <c r="E31" s="43">
        <f>'[2]GW Depletions'!V38</f>
        <v>36732.958449265381</v>
      </c>
      <c r="G31" s="78">
        <f t="shared" si="1"/>
        <v>95024.158449266732</v>
      </c>
      <c r="H31" s="154">
        <f>'[3]Req Inflow'!N30</f>
        <v>73527.418910101856</v>
      </c>
      <c r="I31" s="72">
        <f t="shared" si="2"/>
        <v>168551.57735936859</v>
      </c>
      <c r="K31" s="72">
        <f>MAX([2]GWCU!L35*0.3,E31)</f>
        <v>47375.905449827987</v>
      </c>
      <c r="L31" s="72">
        <f>'[2]M&amp;I COHYST Summary'!F59</f>
        <v>3495.27</v>
      </c>
      <c r="M31" s="72">
        <f>IF('[3]DS Demand'!R30&gt;0,'[3]DS Demand'!R30,0)</f>
        <v>78612.864339813023</v>
      </c>
      <c r="N31" s="72">
        <f>'[4]Instream Applied Grand Island'!K30</f>
        <v>78612.864339813023</v>
      </c>
      <c r="O31" s="72">
        <f t="shared" si="3"/>
        <v>78612.864339813023</v>
      </c>
      <c r="P31" s="19"/>
      <c r="Q31" s="73">
        <f t="shared" si="4"/>
        <v>118841.09278907841</v>
      </c>
      <c r="R31" s="73">
        <f t="shared" si="8"/>
        <v>129484.03978964101</v>
      </c>
      <c r="S31"/>
      <c r="T31" s="87">
        <f t="shared" si="5"/>
        <v>49710.48457029018</v>
      </c>
      <c r="U31" s="87">
        <f t="shared" si="6"/>
        <v>39067.537569727574</v>
      </c>
    </row>
    <row r="32" spans="1:21" x14ac:dyDescent="0.25">
      <c r="A32" s="38">
        <v>2012</v>
      </c>
      <c r="B32" s="146">
        <f>'[1]Capped Flow'!T31</f>
        <v>22969.009799999989</v>
      </c>
      <c r="C32" s="146">
        <f>'[1]Capped Flow'!U31</f>
        <v>25040.3868</v>
      </c>
      <c r="D32" s="146">
        <f t="shared" si="7"/>
        <v>2071.3770000000113</v>
      </c>
      <c r="E32" s="43">
        <f>'[2]GW Depletions'!V39</f>
        <v>38135.162093663908</v>
      </c>
      <c r="G32" s="78">
        <f t="shared" si="1"/>
        <v>40206.539093663916</v>
      </c>
      <c r="H32" s="154">
        <f>'[3]Req Inflow'!N31</f>
        <v>0</v>
      </c>
      <c r="I32" s="72">
        <f t="shared" si="2"/>
        <v>40206.539093663916</v>
      </c>
      <c r="K32" s="72">
        <f>MAX([2]GWCU!L36*0.3,E32)</f>
        <v>63595.841339999846</v>
      </c>
      <c r="L32" s="72">
        <f>'[2]M&amp;I COHYST Summary'!F60</f>
        <v>3495.27</v>
      </c>
      <c r="M32" s="72">
        <f>IF('[3]DS Demand'!R31&gt;0,'[3]DS Demand'!R31,0)</f>
        <v>13480.669785668812</v>
      </c>
      <c r="N32" s="72">
        <f>'[4]Instream Applied Grand Island'!K31</f>
        <v>13480.669785668812</v>
      </c>
      <c r="O32" s="72">
        <f t="shared" si="3"/>
        <v>13480.669785668812</v>
      </c>
      <c r="P32" s="19"/>
      <c r="Q32" s="73">
        <f t="shared" si="4"/>
        <v>55111.101879332717</v>
      </c>
      <c r="R32" s="73">
        <f t="shared" si="8"/>
        <v>80571.781125668655</v>
      </c>
      <c r="S32"/>
      <c r="T32" s="87">
        <f t="shared" si="5"/>
        <v>-14904.562785668801</v>
      </c>
      <c r="U32" s="87">
        <f t="shared" si="6"/>
        <v>-40365.242032004739</v>
      </c>
    </row>
    <row r="33" spans="1:21" x14ac:dyDescent="0.25">
      <c r="E33" s="6"/>
      <c r="G33" s="65"/>
      <c r="H33" s="66"/>
      <c r="I33"/>
    </row>
    <row r="34" spans="1:21" x14ac:dyDescent="0.25">
      <c r="E34" s="65"/>
      <c r="G34" s="65"/>
      <c r="H34" s="66"/>
      <c r="I34"/>
    </row>
    <row r="35" spans="1:21" x14ac:dyDescent="0.25">
      <c r="A35" s="6" t="s">
        <v>9</v>
      </c>
      <c r="B35" s="18">
        <f>AVERAGE(B8:B32)</f>
        <v>199137.71671199999</v>
      </c>
      <c r="C35" s="18">
        <f>AVERAGE(C8:C32)</f>
        <v>242273.3781600002</v>
      </c>
      <c r="D35" s="18">
        <f t="shared" ref="D35:U35" si="9">AVERAGE(D8:D32)</f>
        <v>43135.661448000137</v>
      </c>
      <c r="E35" s="18">
        <f t="shared" si="9"/>
        <v>32052.630566253443</v>
      </c>
      <c r="F35" s="18"/>
      <c r="G35" s="18">
        <f t="shared" si="9"/>
        <v>75188.292014253602</v>
      </c>
      <c r="H35" s="18">
        <f>AVERAGE(H8:H32)</f>
        <v>39347.128979652218</v>
      </c>
      <c r="I35" s="18">
        <f>AVERAGE(I8:I32)</f>
        <v>114535.42099390579</v>
      </c>
      <c r="J35" s="18"/>
      <c r="K35" s="18">
        <f t="shared" si="9"/>
        <v>38478.406165290209</v>
      </c>
      <c r="L35" s="18">
        <f t="shared" si="9"/>
        <v>3117.3332</v>
      </c>
      <c r="M35" s="18">
        <f t="shared" si="9"/>
        <v>57695.922673402129</v>
      </c>
      <c r="N35" s="18">
        <f t="shared" si="9"/>
        <v>47909.42973049343</v>
      </c>
      <c r="O35" s="18">
        <f t="shared" si="9"/>
        <v>57695.922673402129</v>
      </c>
      <c r="P35" s="18"/>
      <c r="Q35" s="18">
        <f t="shared" si="9"/>
        <v>92865.886439655587</v>
      </c>
      <c r="R35" s="18">
        <f t="shared" si="9"/>
        <v>99291.662038692331</v>
      </c>
      <c r="S35" s="18"/>
      <c r="T35" s="18">
        <f t="shared" si="9"/>
        <v>21669.534554250236</v>
      </c>
      <c r="U35" s="18">
        <f t="shared" si="9"/>
        <v>15243.758955213463</v>
      </c>
    </row>
    <row r="36" spans="1:21" x14ac:dyDescent="0.25">
      <c r="F36"/>
      <c r="N36" s="116"/>
    </row>
    <row r="37" spans="1:21" x14ac:dyDescent="0.25">
      <c r="F37"/>
      <c r="N37" s="116"/>
    </row>
    <row r="38" spans="1:21" x14ac:dyDescent="0.25">
      <c r="F38"/>
    </row>
    <row r="39" spans="1:21" x14ac:dyDescent="0.25">
      <c r="A39" t="s">
        <v>10</v>
      </c>
      <c r="B39"/>
      <c r="C39"/>
      <c r="D39" t="s">
        <v>6</v>
      </c>
      <c r="E39"/>
      <c r="G39" t="s">
        <v>7</v>
      </c>
      <c r="H39" s="1"/>
      <c r="K39" s="16" t="s">
        <v>135</v>
      </c>
      <c r="L39" s="161" t="s">
        <v>136</v>
      </c>
    </row>
    <row r="40" spans="1:21" x14ac:dyDescent="0.25">
      <c r="A40" s="36" t="s">
        <v>2</v>
      </c>
      <c r="B40" s="61">
        <f>D35</f>
        <v>43135.661448000137</v>
      </c>
      <c r="C40"/>
      <c r="D40" s="36" t="s">
        <v>11</v>
      </c>
      <c r="E40" s="60">
        <f>E35</f>
        <v>32052.630566253443</v>
      </c>
      <c r="G40" s="36" t="s">
        <v>12</v>
      </c>
      <c r="H40" s="59">
        <f>K35</f>
        <v>38478.406165290209</v>
      </c>
      <c r="K40" s="161" t="s">
        <v>137</v>
      </c>
      <c r="L40" s="161" t="s">
        <v>138</v>
      </c>
    </row>
    <row r="41" spans="1:21" x14ac:dyDescent="0.25">
      <c r="A41" s="36" t="s">
        <v>11</v>
      </c>
      <c r="B41" s="61">
        <f>E35</f>
        <v>32052.630566253443</v>
      </c>
      <c r="C41"/>
      <c r="D41" s="36" t="s">
        <v>13</v>
      </c>
      <c r="E41" s="60">
        <v>0</v>
      </c>
      <c r="G41" s="36" t="s">
        <v>13</v>
      </c>
      <c r="H41" s="59"/>
      <c r="K41" s="161" t="s">
        <v>139</v>
      </c>
      <c r="L41" s="161" t="s">
        <v>140</v>
      </c>
    </row>
    <row r="42" spans="1:21" x14ac:dyDescent="0.25">
      <c r="A42" s="36" t="s">
        <v>3</v>
      </c>
      <c r="B42" s="61">
        <v>0</v>
      </c>
      <c r="C42"/>
      <c r="D42" s="36" t="s">
        <v>95</v>
      </c>
      <c r="E42" s="60">
        <f>L35</f>
        <v>3117.3332</v>
      </c>
      <c r="G42" s="36" t="s">
        <v>95</v>
      </c>
      <c r="H42" s="60">
        <f>E42</f>
        <v>3117.3332</v>
      </c>
      <c r="K42" s="161" t="s">
        <v>141</v>
      </c>
      <c r="L42" s="161" t="s">
        <v>142</v>
      </c>
    </row>
    <row r="43" spans="1:21" x14ac:dyDescent="0.25">
      <c r="A43" s="42" t="s">
        <v>68</v>
      </c>
      <c r="B43" s="43">
        <f>H35</f>
        <v>39347.128979652218</v>
      </c>
      <c r="C43"/>
      <c r="D43" s="75" t="s">
        <v>18</v>
      </c>
      <c r="E43" s="72">
        <f>O35</f>
        <v>57695.922673402129</v>
      </c>
      <c r="G43" s="75" t="s">
        <v>18</v>
      </c>
      <c r="H43" s="74">
        <f>E43</f>
        <v>57695.922673402129</v>
      </c>
      <c r="K43" s="161" t="s">
        <v>143</v>
      </c>
      <c r="L43" s="161" t="s">
        <v>144</v>
      </c>
    </row>
    <row r="44" spans="1:21" x14ac:dyDescent="0.25">
      <c r="A44" s="42" t="s">
        <v>28</v>
      </c>
      <c r="B44" s="62">
        <f>SUM(B40:B43)</f>
        <v>114535.42099390581</v>
      </c>
      <c r="D44" s="77"/>
      <c r="E44" s="71"/>
      <c r="G44" s="77"/>
      <c r="H44" s="77"/>
      <c r="K44" s="161" t="s">
        <v>5</v>
      </c>
      <c r="L44" s="161" t="s">
        <v>145</v>
      </c>
    </row>
    <row r="45" spans="1:21" x14ac:dyDescent="0.25">
      <c r="D45" s="36" t="s">
        <v>42</v>
      </c>
      <c r="E45" s="60">
        <f>B44-E46</f>
        <v>21669.534554250233</v>
      </c>
      <c r="G45" s="36" t="s">
        <v>42</v>
      </c>
      <c r="H45" s="61">
        <f>B44-H46</f>
        <v>15243.758955213474</v>
      </c>
      <c r="K45" s="5" t="s">
        <v>146</v>
      </c>
      <c r="L45" s="161" t="s">
        <v>147</v>
      </c>
    </row>
    <row r="46" spans="1:21" x14ac:dyDescent="0.25">
      <c r="D46" s="38" t="s">
        <v>22</v>
      </c>
      <c r="E46" s="70">
        <f>SUM(E40:E44)</f>
        <v>92865.886439655573</v>
      </c>
      <c r="G46" s="38" t="s">
        <v>22</v>
      </c>
      <c r="H46" s="27">
        <f>SUM(H40:H44)</f>
        <v>99291.662038692331</v>
      </c>
      <c r="K46" s="5" t="s">
        <v>148</v>
      </c>
      <c r="L46" s="161" t="s">
        <v>149</v>
      </c>
    </row>
    <row r="47" spans="1:21" x14ac:dyDescent="0.25">
      <c r="F47"/>
      <c r="K47" s="5" t="s">
        <v>150</v>
      </c>
      <c r="L47" s="161" t="s">
        <v>151</v>
      </c>
    </row>
    <row r="48" spans="1:21" x14ac:dyDescent="0.25">
      <c r="F48"/>
      <c r="K48" s="125" t="s">
        <v>152</v>
      </c>
      <c r="L48" s="125" t="s">
        <v>153</v>
      </c>
    </row>
    <row r="49" spans="6:12" x14ac:dyDescent="0.25">
      <c r="F49"/>
      <c r="K49" s="125" t="s">
        <v>154</v>
      </c>
      <c r="L49" s="125" t="s">
        <v>155</v>
      </c>
    </row>
    <row r="50" spans="6:12" x14ac:dyDescent="0.25">
      <c r="F50"/>
    </row>
    <row r="51" spans="6:12" x14ac:dyDescent="0.25">
      <c r="F51"/>
    </row>
    <row r="52" spans="6:12" x14ac:dyDescent="0.25">
      <c r="F52"/>
    </row>
    <row r="53" spans="6:12" x14ac:dyDescent="0.25">
      <c r="F53"/>
    </row>
    <row r="54" spans="6:12" x14ac:dyDescent="0.25">
      <c r="F54"/>
    </row>
    <row r="55" spans="6:12" x14ac:dyDescent="0.25">
      <c r="F55"/>
    </row>
    <row r="56" spans="6:12" x14ac:dyDescent="0.25">
      <c r="F56"/>
    </row>
    <row r="57" spans="6:12" x14ac:dyDescent="0.25">
      <c r="F57"/>
    </row>
    <row r="58" spans="6:12" x14ac:dyDescent="0.25">
      <c r="F58"/>
    </row>
    <row r="59" spans="6:12" x14ac:dyDescent="0.25">
      <c r="F59"/>
    </row>
    <row r="60" spans="6:12" x14ac:dyDescent="0.25">
      <c r="F60"/>
    </row>
    <row r="61" spans="6:12" x14ac:dyDescent="0.25">
      <c r="F61"/>
    </row>
    <row r="62" spans="6:12" x14ac:dyDescent="0.25">
      <c r="F62"/>
    </row>
  </sheetData>
  <mergeCells count="1">
    <mergeCell ref="A6:A7"/>
  </mergeCells>
  <printOptions gridLines="1"/>
  <pageMargins left="0.7" right="0.7" top="0.75" bottom="0.75" header="0.3" footer="0.3"/>
  <pageSetup paperSize="3" scale="9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  <pageSetUpPr fitToPage="1"/>
  </sheetPr>
  <dimension ref="A1:Y53"/>
  <sheetViews>
    <sheetView showGridLines="0" topLeftCell="A7" zoomScale="85" zoomScaleNormal="85" workbookViewId="0">
      <selection activeCell="A34" sqref="A34"/>
    </sheetView>
  </sheetViews>
  <sheetFormatPr defaultRowHeight="15" x14ac:dyDescent="0.25"/>
  <cols>
    <col min="2" max="4" width="19.42578125" customWidth="1"/>
    <col min="5" max="5" width="17.5703125" customWidth="1"/>
    <col min="6" max="6" width="9.28515625" bestFit="1" customWidth="1"/>
    <col min="7" max="7" width="27.85546875" style="1" bestFit="1" customWidth="1"/>
    <col min="8" max="8" width="19" style="1" bestFit="1" customWidth="1"/>
    <col min="9" max="9" width="15.5703125" style="1" customWidth="1"/>
    <col min="10" max="10" width="19.85546875" style="7" bestFit="1" customWidth="1"/>
    <col min="11" max="11" width="22.85546875" customWidth="1"/>
    <col min="12" max="12" width="22.85546875" style="126" customWidth="1"/>
    <col min="13" max="13" width="21.42578125" bestFit="1" customWidth="1"/>
    <col min="14" max="14" width="22.7109375" bestFit="1" customWidth="1"/>
    <col min="15" max="15" width="22.7109375" style="52" customWidth="1"/>
    <col min="16" max="16" width="7.7109375" bestFit="1" customWidth="1"/>
    <col min="17" max="18" width="15.42578125" customWidth="1"/>
    <col min="20" max="21" width="20.28515625" customWidth="1"/>
  </cols>
  <sheetData>
    <row r="1" spans="1:25" s="161" customFormat="1" x14ac:dyDescent="0.25">
      <c r="A1" s="6" t="s">
        <v>108</v>
      </c>
      <c r="B1" s="162">
        <v>43262</v>
      </c>
      <c r="G1" s="127"/>
      <c r="H1" s="127"/>
      <c r="I1" s="127"/>
      <c r="J1" s="160"/>
    </row>
    <row r="2" spans="1:25" s="161" customFormat="1" x14ac:dyDescent="0.25">
      <c r="A2" s="6" t="s">
        <v>109</v>
      </c>
      <c r="B2" s="6" t="s">
        <v>110</v>
      </c>
      <c r="G2" s="127"/>
      <c r="H2" s="127"/>
      <c r="I2" s="127"/>
      <c r="J2" s="160"/>
    </row>
    <row r="3" spans="1:25" x14ac:dyDescent="0.25">
      <c r="A3" t="s">
        <v>29</v>
      </c>
      <c r="J3"/>
    </row>
    <row r="4" spans="1:25" x14ac:dyDescent="0.25">
      <c r="A4" t="s">
        <v>17</v>
      </c>
      <c r="J4"/>
    </row>
    <row r="5" spans="1:25" s="12" customFormat="1" ht="15" customHeight="1" x14ac:dyDescent="0.25">
      <c r="E5" s="13"/>
      <c r="F5"/>
      <c r="G5" s="2"/>
      <c r="H5" s="1"/>
      <c r="J5" s="1"/>
      <c r="K5" s="135"/>
      <c r="L5" s="139"/>
      <c r="M5" s="139"/>
      <c r="N5" s="139"/>
      <c r="O5" s="135"/>
      <c r="P5" s="138"/>
      <c r="Q5" s="138"/>
      <c r="R5" s="138"/>
      <c r="S5" s="105"/>
      <c r="T5" s="105"/>
      <c r="U5" s="105"/>
      <c r="V5" s="105"/>
      <c r="W5" s="105"/>
      <c r="X5" s="105"/>
      <c r="Y5" s="105"/>
    </row>
    <row r="6" spans="1:25" s="12" customFormat="1" ht="50.25" customHeight="1" x14ac:dyDescent="0.25">
      <c r="A6" s="185" t="s">
        <v>1</v>
      </c>
      <c r="B6" s="163" t="s">
        <v>129</v>
      </c>
      <c r="C6" s="163" t="s">
        <v>130</v>
      </c>
      <c r="D6" s="163" t="s">
        <v>98</v>
      </c>
      <c r="E6" s="164" t="s">
        <v>11</v>
      </c>
      <c r="F6" s="131"/>
      <c r="G6" s="163" t="s">
        <v>118</v>
      </c>
      <c r="H6" s="163" t="s">
        <v>93</v>
      </c>
      <c r="I6" s="163" t="s">
        <v>56</v>
      </c>
      <c r="J6" s="175"/>
      <c r="K6" s="173" t="s">
        <v>12</v>
      </c>
      <c r="L6" s="173" t="s">
        <v>95</v>
      </c>
      <c r="M6" s="173" t="s">
        <v>82</v>
      </c>
      <c r="N6" s="166" t="s">
        <v>44</v>
      </c>
      <c r="O6" s="173" t="s">
        <v>18</v>
      </c>
      <c r="P6" s="177"/>
      <c r="Q6" s="173" t="s">
        <v>6</v>
      </c>
      <c r="R6" s="173" t="s">
        <v>7</v>
      </c>
      <c r="S6" s="130"/>
      <c r="T6" s="173" t="s">
        <v>36</v>
      </c>
      <c r="U6" s="173" t="s">
        <v>37</v>
      </c>
    </row>
    <row r="7" spans="1:25" s="12" customFormat="1" x14ac:dyDescent="0.25">
      <c r="A7" s="185"/>
      <c r="B7" s="164" t="s">
        <v>8</v>
      </c>
      <c r="C7" s="164" t="s">
        <v>8</v>
      </c>
      <c r="D7" s="164" t="s">
        <v>8</v>
      </c>
      <c r="E7" s="164" t="s">
        <v>8</v>
      </c>
      <c r="F7" s="131"/>
      <c r="G7" s="164" t="s">
        <v>8</v>
      </c>
      <c r="H7" s="164" t="s">
        <v>8</v>
      </c>
      <c r="I7" s="164" t="s">
        <v>8</v>
      </c>
      <c r="J7" s="175"/>
      <c r="K7" s="178" t="s">
        <v>8</v>
      </c>
      <c r="L7" s="178" t="s">
        <v>97</v>
      </c>
      <c r="M7" s="178" t="s">
        <v>8</v>
      </c>
      <c r="N7" s="178" t="s">
        <v>8</v>
      </c>
      <c r="O7" s="178" t="s">
        <v>8</v>
      </c>
      <c r="P7" s="177"/>
      <c r="Q7" s="179" t="s">
        <v>8</v>
      </c>
      <c r="R7" s="179" t="s">
        <v>8</v>
      </c>
      <c r="S7" s="130"/>
      <c r="T7" s="179" t="s">
        <v>8</v>
      </c>
      <c r="U7" s="179" t="s">
        <v>8</v>
      </c>
    </row>
    <row r="8" spans="1:25" x14ac:dyDescent="0.25">
      <c r="A8" s="38">
        <v>1988</v>
      </c>
      <c r="B8" s="146">
        <f>'[1]Capped Flow'!I7</f>
        <v>1021493.8800000001</v>
      </c>
      <c r="C8" s="146">
        <f>'[1]Capped Flow'!J7</f>
        <v>1305216.0000000005</v>
      </c>
      <c r="D8" s="146">
        <f t="shared" ref="D8" si="0">C8-B8</f>
        <v>283722.12000000034</v>
      </c>
      <c r="E8" s="146">
        <f>'[2]GW Depletions'!H15</f>
        <v>81012.241094696976</v>
      </c>
      <c r="G8" s="78">
        <f t="shared" ref="G8:G32" si="1">SUM(D8:E8)</f>
        <v>364734.36109469732</v>
      </c>
      <c r="H8" s="154">
        <f>'[3]Req Inflow'!F7</f>
        <v>0</v>
      </c>
      <c r="I8" s="72">
        <f t="shared" ref="I8:I32" si="2">G8+H8</f>
        <v>364734.36109469732</v>
      </c>
      <c r="J8" s="17"/>
      <c r="K8" s="43">
        <f>MAX([2]GWCU!M12*0.7,E8)</f>
        <v>225375.8633000007</v>
      </c>
      <c r="L8" s="43">
        <f>'[2]M&amp;I COHYST Summary'!G8</f>
        <v>3667.3100000000009</v>
      </c>
      <c r="M8" s="43">
        <f>IF('[3]DS Demand'!H7&gt;0,'[3]DS Demand'!H7,0)</f>
        <v>83029.484921651834</v>
      </c>
      <c r="N8" s="43">
        <f>'[4]Instream Applied Duncan'!B7</f>
        <v>0</v>
      </c>
      <c r="O8" s="43">
        <f t="shared" ref="O8:O32" si="3">MAX(M8,N8)</f>
        <v>83029.484921651834</v>
      </c>
      <c r="P8" s="82"/>
      <c r="Q8" s="43">
        <f t="shared" ref="Q8:Q32" si="4">E8+O8+L8</f>
        <v>167709.03601634881</v>
      </c>
      <c r="R8" s="62">
        <f>K8+O8+L8</f>
        <v>312072.65822165256</v>
      </c>
      <c r="S8" s="131"/>
      <c r="T8" s="43">
        <f t="shared" ref="T8:T32" si="5">$I8-Q8</f>
        <v>197025.32507834851</v>
      </c>
      <c r="U8" s="43">
        <f t="shared" ref="U8:U32" si="6">$I8-R8</f>
        <v>52661.702873044764</v>
      </c>
    </row>
    <row r="9" spans="1:25" x14ac:dyDescent="0.25">
      <c r="A9" s="38">
        <v>1989</v>
      </c>
      <c r="B9" s="146">
        <f>'[1]Capped Flow'!I8</f>
        <v>624501.90000000014</v>
      </c>
      <c r="C9" s="146">
        <f>'[1]Capped Flow'!J8</f>
        <v>684881.99999999988</v>
      </c>
      <c r="D9" s="146">
        <f t="shared" ref="D9:D32" si="7">C9-B9</f>
        <v>60380.099999999744</v>
      </c>
      <c r="E9" s="146">
        <f>'[2]GW Depletions'!H16</f>
        <v>111432.86207874198</v>
      </c>
      <c r="G9" s="78">
        <f t="shared" si="1"/>
        <v>171812.96207874172</v>
      </c>
      <c r="H9" s="154">
        <f>'[3]Req Inflow'!F8</f>
        <v>0</v>
      </c>
      <c r="I9" s="72">
        <f t="shared" si="2"/>
        <v>171812.96207874172</v>
      </c>
      <c r="J9" s="17"/>
      <c r="K9" s="43">
        <f>MAX([2]GWCU!M13*0.7,E9)</f>
        <v>201138.09297166625</v>
      </c>
      <c r="L9" s="43">
        <f>'[2]M&amp;I COHYST Summary'!G9</f>
        <v>3725.04</v>
      </c>
      <c r="M9" s="43">
        <f>IF('[3]DS Demand'!H8&gt;0,'[3]DS Demand'!H8,0)</f>
        <v>51460.592505534456</v>
      </c>
      <c r="N9" s="43">
        <f>'[4]Instream Applied Duncan'!B8</f>
        <v>0</v>
      </c>
      <c r="O9" s="43">
        <f t="shared" si="3"/>
        <v>51460.592505534456</v>
      </c>
      <c r="P9" s="82"/>
      <c r="Q9" s="37">
        <f t="shared" si="4"/>
        <v>166618.49458427643</v>
      </c>
      <c r="R9" s="62">
        <f t="shared" ref="R9:R32" si="8">K9+O9+L9</f>
        <v>256323.72547720073</v>
      </c>
      <c r="S9" s="3"/>
      <c r="T9" s="37">
        <f t="shared" si="5"/>
        <v>5194.4674944652943</v>
      </c>
      <c r="U9" s="37">
        <f t="shared" si="6"/>
        <v>-84510.763398459007</v>
      </c>
    </row>
    <row r="10" spans="1:25" x14ac:dyDescent="0.25">
      <c r="A10" s="38">
        <v>1990</v>
      </c>
      <c r="B10" s="146">
        <f>'[1]Capped Flow'!I9</f>
        <v>801963.3600000001</v>
      </c>
      <c r="C10" s="146">
        <f>'[1]Capped Flow'!J9</f>
        <v>890362.44000000018</v>
      </c>
      <c r="D10" s="146">
        <f t="shared" si="7"/>
        <v>88399.080000000075</v>
      </c>
      <c r="E10" s="146">
        <f>'[2]GW Depletions'!H17</f>
        <v>119943.29158057852</v>
      </c>
      <c r="G10" s="78">
        <f t="shared" si="1"/>
        <v>208342.37158057859</v>
      </c>
      <c r="H10" s="154">
        <f>'[3]Req Inflow'!F9</f>
        <v>0</v>
      </c>
      <c r="I10" s="72">
        <f t="shared" si="2"/>
        <v>208342.37158057859</v>
      </c>
      <c r="J10" s="17"/>
      <c r="K10" s="43">
        <f>MAX([2]GWCU!M14*0.7,E10)</f>
        <v>168894.49875083356</v>
      </c>
      <c r="L10" s="43">
        <f>'[2]M&amp;I COHYST Summary'!G10</f>
        <v>3781.0200000000004</v>
      </c>
      <c r="M10" s="43">
        <f>IF('[3]DS Demand'!H9&gt;0,'[3]DS Demand'!H9,0)</f>
        <v>55649.836815672898</v>
      </c>
      <c r="N10" s="43">
        <f>'[4]Instream Applied Duncan'!B9</f>
        <v>0</v>
      </c>
      <c r="O10" s="43">
        <f t="shared" si="3"/>
        <v>55649.836815672898</v>
      </c>
      <c r="P10" s="82"/>
      <c r="Q10" s="37">
        <f t="shared" si="4"/>
        <v>179374.1483962514</v>
      </c>
      <c r="R10" s="62">
        <f t="shared" si="8"/>
        <v>228325.35556650645</v>
      </c>
      <c r="S10" s="3"/>
      <c r="T10" s="37">
        <f t="shared" si="5"/>
        <v>28968.223184327187</v>
      </c>
      <c r="U10" s="37">
        <f t="shared" si="6"/>
        <v>-19982.983985927858</v>
      </c>
    </row>
    <row r="11" spans="1:25" x14ac:dyDescent="0.25">
      <c r="A11" s="38">
        <v>1991</v>
      </c>
      <c r="B11" s="146">
        <f>'[1]Capped Flow'!I10</f>
        <v>468079.92000000016</v>
      </c>
      <c r="C11" s="146">
        <f>'[1]Capped Flow'!J10</f>
        <v>554318.02799999993</v>
      </c>
      <c r="D11" s="146">
        <f t="shared" si="7"/>
        <v>86238.107999999775</v>
      </c>
      <c r="E11" s="146">
        <f>'[2]GW Depletions'!H18</f>
        <v>113336.70240013773</v>
      </c>
      <c r="G11" s="78">
        <f t="shared" si="1"/>
        <v>199574.8104001375</v>
      </c>
      <c r="H11" s="154">
        <f>'[3]Req Inflow'!F10</f>
        <v>0</v>
      </c>
      <c r="I11" s="72">
        <f t="shared" si="2"/>
        <v>199574.8104001375</v>
      </c>
      <c r="J11" s="17"/>
      <c r="K11" s="43">
        <f>MAX([2]GWCU!M15*0.7,E11)</f>
        <v>181635.7126091668</v>
      </c>
      <c r="L11" s="43">
        <f>'[2]M&amp;I COHYST Summary'!G11</f>
        <v>3665.45</v>
      </c>
      <c r="M11" s="43">
        <f>IF('[3]DS Demand'!H10&gt;0,'[3]DS Demand'!H10,0)</f>
        <v>65758.3395677878</v>
      </c>
      <c r="N11" s="43">
        <f>'[4]Instream Applied Duncan'!B10</f>
        <v>0</v>
      </c>
      <c r="O11" s="43">
        <f t="shared" si="3"/>
        <v>65758.3395677878</v>
      </c>
      <c r="P11" s="82"/>
      <c r="Q11" s="37">
        <f t="shared" si="4"/>
        <v>182760.49196792554</v>
      </c>
      <c r="R11" s="62">
        <f t="shared" si="8"/>
        <v>251059.50217695461</v>
      </c>
      <c r="S11" s="3"/>
      <c r="T11" s="37">
        <f t="shared" si="5"/>
        <v>16814.318432211963</v>
      </c>
      <c r="U11" s="37">
        <f t="shared" si="6"/>
        <v>-51484.691776817112</v>
      </c>
    </row>
    <row r="12" spans="1:25" x14ac:dyDescent="0.25">
      <c r="A12" s="38">
        <v>1992</v>
      </c>
      <c r="B12" s="146">
        <f>'[1]Capped Flow'!I11</f>
        <v>555259.31999999995</v>
      </c>
      <c r="C12" s="146">
        <f>'[1]Capped Flow'!J11</f>
        <v>679125.24900000007</v>
      </c>
      <c r="D12" s="146">
        <f t="shared" si="7"/>
        <v>123865.92900000012</v>
      </c>
      <c r="E12" s="146">
        <f>'[2]GW Depletions'!H19</f>
        <v>108230.99871212122</v>
      </c>
      <c r="G12" s="78">
        <f t="shared" si="1"/>
        <v>232096.92771212134</v>
      </c>
      <c r="H12" s="154">
        <f>'[3]Req Inflow'!F11</f>
        <v>0</v>
      </c>
      <c r="I12" s="72">
        <f t="shared" si="2"/>
        <v>232096.92771212134</v>
      </c>
      <c r="J12" s="17"/>
      <c r="K12" s="43">
        <f>MAX([2]GWCU!M16*0.7,E12)</f>
        <v>152760.35854916691</v>
      </c>
      <c r="L12" s="43">
        <f>'[2]M&amp;I COHYST Summary'!G12</f>
        <v>3546.0299999999997</v>
      </c>
      <c r="M12" s="43">
        <f>IF('[3]DS Demand'!H11&gt;0,'[3]DS Demand'!H11,0)</f>
        <v>67476.593627512149</v>
      </c>
      <c r="N12" s="43">
        <f>'[4]Instream Applied Duncan'!B11</f>
        <v>0</v>
      </c>
      <c r="O12" s="43">
        <f t="shared" si="3"/>
        <v>67476.593627512149</v>
      </c>
      <c r="P12" s="82"/>
      <c r="Q12" s="37">
        <f t="shared" si="4"/>
        <v>179253.62233963338</v>
      </c>
      <c r="R12" s="62">
        <f t="shared" si="8"/>
        <v>223782.98217667904</v>
      </c>
      <c r="S12" s="3"/>
      <c r="T12" s="37">
        <f t="shared" si="5"/>
        <v>52843.305372487957</v>
      </c>
      <c r="U12" s="37">
        <f t="shared" si="6"/>
        <v>8313.9455354422971</v>
      </c>
    </row>
    <row r="13" spans="1:25" x14ac:dyDescent="0.25">
      <c r="A13" s="38">
        <v>1993</v>
      </c>
      <c r="B13" s="146">
        <f>'[1]Capped Flow'!I12</f>
        <v>731477.33999999985</v>
      </c>
      <c r="C13" s="146">
        <f>'[1]Capped Flow'!J12</f>
        <v>1018650.6000000001</v>
      </c>
      <c r="D13" s="146">
        <f t="shared" si="7"/>
        <v>287173.26000000024</v>
      </c>
      <c r="E13" s="146">
        <f>'[2]GW Depletions'!H20</f>
        <v>99419.488224288347</v>
      </c>
      <c r="G13" s="78">
        <f t="shared" si="1"/>
        <v>386592.74822428857</v>
      </c>
      <c r="H13" s="154">
        <f>'[3]Req Inflow'!F12</f>
        <v>74141.016967575255</v>
      </c>
      <c r="I13" s="72">
        <f t="shared" si="2"/>
        <v>460733.76519186381</v>
      </c>
      <c r="J13" s="17"/>
      <c r="K13" s="43">
        <f>MAX([2]GWCU!M17*0.7,E13)</f>
        <v>108420.66524916643</v>
      </c>
      <c r="L13" s="43">
        <f>'[2]M&amp;I COHYST Summary'!G13</f>
        <v>3561.39</v>
      </c>
      <c r="M13" s="43">
        <f>IF('[3]DS Demand'!H12&gt;0,'[3]DS Demand'!H12,0)</f>
        <v>95360.861825001339</v>
      </c>
      <c r="N13" s="43">
        <f>'[4]Instream Applied Duncan'!B12</f>
        <v>91776.893516475917</v>
      </c>
      <c r="O13" s="43">
        <f t="shared" si="3"/>
        <v>95360.861825001339</v>
      </c>
      <c r="P13" s="82"/>
      <c r="Q13" s="37">
        <f t="shared" si="4"/>
        <v>198341.74004928971</v>
      </c>
      <c r="R13" s="62">
        <f t="shared" si="8"/>
        <v>207342.91707416778</v>
      </c>
      <c r="S13" s="3"/>
      <c r="T13" s="37">
        <f t="shared" si="5"/>
        <v>262392.0251425741</v>
      </c>
      <c r="U13" s="37">
        <f t="shared" si="6"/>
        <v>253390.84811769603</v>
      </c>
    </row>
    <row r="14" spans="1:25" x14ac:dyDescent="0.25">
      <c r="A14" s="38">
        <v>1994</v>
      </c>
      <c r="B14" s="146">
        <f>'[1]Capped Flow'!I13</f>
        <v>902672.09999999986</v>
      </c>
      <c r="C14" s="146">
        <f>'[1]Capped Flow'!J13</f>
        <v>1221398.6400000001</v>
      </c>
      <c r="D14" s="146">
        <f t="shared" si="7"/>
        <v>318726.54000000027</v>
      </c>
      <c r="E14" s="146">
        <f>'[2]GW Depletions'!H21</f>
        <v>91295.888945133149</v>
      </c>
      <c r="G14" s="78">
        <f t="shared" si="1"/>
        <v>410022.4289451334</v>
      </c>
      <c r="H14" s="154">
        <f>'[3]Req Inflow'!F13</f>
        <v>0</v>
      </c>
      <c r="I14" s="72">
        <f t="shared" si="2"/>
        <v>410022.4289451334</v>
      </c>
      <c r="J14" s="17"/>
      <c r="K14" s="43">
        <f>MAX([2]GWCU!M18*0.7,E14)</f>
        <v>189948.67370499967</v>
      </c>
      <c r="L14" s="43">
        <f>'[2]M&amp;I COHYST Summary'!G14</f>
        <v>3571.1100000000006</v>
      </c>
      <c r="M14" s="43">
        <f>IF('[3]DS Demand'!H13&gt;0,'[3]DS Demand'!H13,0)</f>
        <v>94296.160234025607</v>
      </c>
      <c r="N14" s="43">
        <f>'[4]Instream Applied Duncan'!B13</f>
        <v>0</v>
      </c>
      <c r="O14" s="43">
        <f t="shared" si="3"/>
        <v>94296.160234025607</v>
      </c>
      <c r="P14" s="82"/>
      <c r="Q14" s="37">
        <f t="shared" si="4"/>
        <v>189163.15917915874</v>
      </c>
      <c r="R14" s="62">
        <f t="shared" si="8"/>
        <v>287815.94393902528</v>
      </c>
      <c r="S14" s="3"/>
      <c r="T14" s="37">
        <f t="shared" si="5"/>
        <v>220859.26976597466</v>
      </c>
      <c r="U14" s="37">
        <f t="shared" si="6"/>
        <v>122206.48500610812</v>
      </c>
    </row>
    <row r="15" spans="1:25" x14ac:dyDescent="0.25">
      <c r="A15" s="38">
        <v>1995</v>
      </c>
      <c r="B15" s="146">
        <f>'[1]Capped Flow'!I14</f>
        <v>688632.12000000011</v>
      </c>
      <c r="C15" s="146">
        <f>'[1]Capped Flow'!J14</f>
        <v>878516.1</v>
      </c>
      <c r="D15" s="146">
        <f t="shared" si="7"/>
        <v>189883.97999999986</v>
      </c>
      <c r="E15" s="146">
        <f>'[2]GW Depletions'!H22</f>
        <v>102830.5818778696</v>
      </c>
      <c r="G15" s="78">
        <f t="shared" si="1"/>
        <v>292714.56187786948</v>
      </c>
      <c r="H15" s="154">
        <f>'[3]Req Inflow'!F14</f>
        <v>0</v>
      </c>
      <c r="I15" s="72">
        <f t="shared" si="2"/>
        <v>292714.56187786948</v>
      </c>
      <c r="J15" s="17"/>
      <c r="K15" s="43">
        <f>MAX([2]GWCU!M19*0.7,E15)</f>
        <v>207737.99801999918</v>
      </c>
      <c r="L15" s="43">
        <f>'[2]M&amp;I COHYST Summary'!G15</f>
        <v>3592.8500000000004</v>
      </c>
      <c r="M15" s="43">
        <f>IF('[3]DS Demand'!H14&gt;0,'[3]DS Demand'!H14,0)</f>
        <v>76090.449111730239</v>
      </c>
      <c r="N15" s="43">
        <f>'[4]Instream Applied Duncan'!B14</f>
        <v>0</v>
      </c>
      <c r="O15" s="43">
        <f t="shared" si="3"/>
        <v>76090.449111730239</v>
      </c>
      <c r="P15" s="82"/>
      <c r="Q15" s="37">
        <f t="shared" si="4"/>
        <v>182513.88098959983</v>
      </c>
      <c r="R15" s="62">
        <f t="shared" si="8"/>
        <v>287421.29713172943</v>
      </c>
      <c r="S15" s="3"/>
      <c r="T15" s="37">
        <f t="shared" si="5"/>
        <v>110200.68088826965</v>
      </c>
      <c r="U15" s="37">
        <f t="shared" si="6"/>
        <v>5293.2647461400484</v>
      </c>
    </row>
    <row r="16" spans="1:25" x14ac:dyDescent="0.25">
      <c r="A16" s="38">
        <v>1996</v>
      </c>
      <c r="B16" s="146">
        <f>'[1]Capped Flow'!I15</f>
        <v>1003580.82</v>
      </c>
      <c r="C16" s="146">
        <f>'[1]Capped Flow'!J15</f>
        <v>1073094.6599999997</v>
      </c>
      <c r="D16" s="146">
        <f t="shared" si="7"/>
        <v>69513.839999999735</v>
      </c>
      <c r="E16" s="146">
        <f>'[2]GW Depletions'!H23</f>
        <v>116106.38754476584</v>
      </c>
      <c r="G16" s="78">
        <f t="shared" si="1"/>
        <v>185620.22754476557</v>
      </c>
      <c r="H16" s="154">
        <f>'[3]Req Inflow'!F15</f>
        <v>29857.65331791027</v>
      </c>
      <c r="I16" s="72">
        <f t="shared" si="2"/>
        <v>215477.88086267584</v>
      </c>
      <c r="J16" s="17"/>
      <c r="K16" s="43">
        <f>MAX([2]GWCU!M20*0.7,E16)</f>
        <v>141173.52998000005</v>
      </c>
      <c r="L16" s="43">
        <f>'[2]M&amp;I COHYST Summary'!G16</f>
        <v>3658.2300000000005</v>
      </c>
      <c r="M16" s="43">
        <f>IF('[3]DS Demand'!H15&gt;0,'[3]DS Demand'!H15,0)</f>
        <v>50480.369287406997</v>
      </c>
      <c r="N16" s="43">
        <f>'[4]Instream Applied Duncan'!B15</f>
        <v>33225.442894717969</v>
      </c>
      <c r="O16" s="43">
        <f t="shared" si="3"/>
        <v>50480.369287406997</v>
      </c>
      <c r="P16" s="82"/>
      <c r="Q16" s="37">
        <f t="shared" si="4"/>
        <v>170244.98683217284</v>
      </c>
      <c r="R16" s="62">
        <f t="shared" si="8"/>
        <v>195312.12926740706</v>
      </c>
      <c r="S16" s="3"/>
      <c r="T16" s="37">
        <f t="shared" si="5"/>
        <v>45232.894030502997</v>
      </c>
      <c r="U16" s="37">
        <f t="shared" si="6"/>
        <v>20165.751595268783</v>
      </c>
    </row>
    <row r="17" spans="1:21" x14ac:dyDescent="0.25">
      <c r="A17" s="38">
        <v>1997</v>
      </c>
      <c r="B17" s="146">
        <f>'[1]Capped Flow'!I16</f>
        <v>1242192.6000000001</v>
      </c>
      <c r="C17" s="146">
        <f>'[1]Capped Flow'!J16</f>
        <v>1596875.9400000004</v>
      </c>
      <c r="D17" s="146">
        <f t="shared" si="7"/>
        <v>354683.34000000032</v>
      </c>
      <c r="E17" s="146">
        <f>'[2]GW Depletions'!H24</f>
        <v>101739.22267561982</v>
      </c>
      <c r="G17" s="78">
        <f t="shared" si="1"/>
        <v>456422.56267562014</v>
      </c>
      <c r="H17" s="154">
        <f>'[3]Req Inflow'!F16</f>
        <v>0</v>
      </c>
      <c r="I17" s="72">
        <f t="shared" si="2"/>
        <v>456422.56267562014</v>
      </c>
      <c r="J17" s="17"/>
      <c r="K17" s="43">
        <f>MAX([2]GWCU!M21*0.7,E17)</f>
        <v>182111.68423583364</v>
      </c>
      <c r="L17" s="43">
        <f>'[2]M&amp;I COHYST Summary'!G17</f>
        <v>3714.6500000000005</v>
      </c>
      <c r="M17" s="43">
        <f>IF('[3]DS Demand'!H16&gt;0,'[3]DS Demand'!H16,0)</f>
        <v>85919.071488134767</v>
      </c>
      <c r="N17" s="43">
        <f>'[4]Instream Applied Duncan'!B16</f>
        <v>0</v>
      </c>
      <c r="O17" s="43">
        <f t="shared" si="3"/>
        <v>85919.071488134767</v>
      </c>
      <c r="P17" s="82"/>
      <c r="Q17" s="37">
        <f t="shared" si="4"/>
        <v>191372.94416375458</v>
      </c>
      <c r="R17" s="62">
        <f t="shared" si="8"/>
        <v>271745.4057239684</v>
      </c>
      <c r="S17" s="3"/>
      <c r="T17" s="37">
        <f t="shared" si="5"/>
        <v>265049.61851186556</v>
      </c>
      <c r="U17" s="37">
        <f t="shared" si="6"/>
        <v>184677.15695165173</v>
      </c>
    </row>
    <row r="18" spans="1:21" x14ac:dyDescent="0.25">
      <c r="A18" s="38">
        <v>1998</v>
      </c>
      <c r="B18" s="146">
        <f>'[1]Capped Flow'!I17</f>
        <v>1786593.6000000006</v>
      </c>
      <c r="C18" s="146">
        <f>'[1]Capped Flow'!J17</f>
        <v>2088721.7999999998</v>
      </c>
      <c r="D18" s="146">
        <f t="shared" si="7"/>
        <v>302128.19999999925</v>
      </c>
      <c r="E18" s="146">
        <f>'[2]GW Depletions'!H25</f>
        <v>103598.83645661158</v>
      </c>
      <c r="G18" s="78">
        <f t="shared" si="1"/>
        <v>405727.03645661083</v>
      </c>
      <c r="H18" s="154">
        <f>'[3]Req Inflow'!F17</f>
        <v>0</v>
      </c>
      <c r="I18" s="72">
        <f t="shared" si="2"/>
        <v>405727.03645661083</v>
      </c>
      <c r="J18" s="17"/>
      <c r="K18" s="43">
        <f>MAX([2]GWCU!M22*0.7,E18)</f>
        <v>138247.83978249968</v>
      </c>
      <c r="L18" s="43">
        <f>'[2]M&amp;I COHYST Summary'!G18</f>
        <v>3781.2699999999995</v>
      </c>
      <c r="M18" s="43">
        <f>IF('[3]DS Demand'!H17&gt;0,'[3]DS Demand'!H17,0)</f>
        <v>69522.306677520013</v>
      </c>
      <c r="N18" s="43">
        <f>'[4]Instream Applied Duncan'!B17</f>
        <v>0</v>
      </c>
      <c r="O18" s="43">
        <f t="shared" si="3"/>
        <v>69522.306677520013</v>
      </c>
      <c r="P18" s="82"/>
      <c r="Q18" s="37">
        <f t="shared" si="4"/>
        <v>176902.41313413158</v>
      </c>
      <c r="R18" s="62">
        <f t="shared" si="8"/>
        <v>211551.41646001968</v>
      </c>
      <c r="S18" s="3"/>
      <c r="T18" s="37">
        <f t="shared" si="5"/>
        <v>228824.62332247925</v>
      </c>
      <c r="U18" s="37">
        <f t="shared" si="6"/>
        <v>194175.61999659115</v>
      </c>
    </row>
    <row r="19" spans="1:21" x14ac:dyDescent="0.25">
      <c r="A19" s="38">
        <v>1999</v>
      </c>
      <c r="B19" s="146">
        <f>'[1]Capped Flow'!I18</f>
        <v>1310106.6000000003</v>
      </c>
      <c r="C19" s="146">
        <f>'[1]Capped Flow'!J18</f>
        <v>1501891.3800000004</v>
      </c>
      <c r="D19" s="146">
        <f t="shared" si="7"/>
        <v>191784.78000000003</v>
      </c>
      <c r="E19" s="146">
        <f>'[2]GW Depletions'!H26</f>
        <v>94368.958583562911</v>
      </c>
      <c r="G19" s="78">
        <f t="shared" si="1"/>
        <v>286153.73858356295</v>
      </c>
      <c r="H19" s="154">
        <f>'[3]Req Inflow'!F18</f>
        <v>0</v>
      </c>
      <c r="I19" s="72">
        <f t="shared" si="2"/>
        <v>286153.73858356295</v>
      </c>
      <c r="J19" s="17"/>
      <c r="K19" s="43">
        <f>MAX([2]GWCU!M23*0.7,E19)</f>
        <v>150328.69803000006</v>
      </c>
      <c r="L19" s="43">
        <f>'[2]M&amp;I COHYST Summary'!G19</f>
        <v>3837.0899999999997</v>
      </c>
      <c r="M19" s="43">
        <f>IF('[3]DS Demand'!H18&gt;0,'[3]DS Demand'!H18,0)</f>
        <v>57931.229514945735</v>
      </c>
      <c r="N19" s="43">
        <f>'[4]Instream Applied Duncan'!B18</f>
        <v>0</v>
      </c>
      <c r="O19" s="43">
        <f t="shared" si="3"/>
        <v>57931.229514945735</v>
      </c>
      <c r="P19" s="82"/>
      <c r="Q19" s="37">
        <f t="shared" si="4"/>
        <v>156137.27809850863</v>
      </c>
      <c r="R19" s="62">
        <f t="shared" si="8"/>
        <v>212097.01754494579</v>
      </c>
      <c r="S19" s="3"/>
      <c r="T19" s="37">
        <f t="shared" si="5"/>
        <v>130016.46048505433</v>
      </c>
      <c r="U19" s="37">
        <f t="shared" si="6"/>
        <v>74056.721038617165</v>
      </c>
    </row>
    <row r="20" spans="1:21" x14ac:dyDescent="0.25">
      <c r="A20" s="38">
        <v>2000</v>
      </c>
      <c r="B20" s="146">
        <f>'[1]Capped Flow'!I19</f>
        <v>1527094.7999999998</v>
      </c>
      <c r="C20" s="146">
        <f>'[1]Capped Flow'!J19</f>
        <v>1615105.8000000003</v>
      </c>
      <c r="D20" s="146">
        <f t="shared" si="7"/>
        <v>88011.000000000466</v>
      </c>
      <c r="E20" s="146">
        <f>'[2]GW Depletions'!H27</f>
        <v>94840.924276859514</v>
      </c>
      <c r="G20" s="78">
        <f t="shared" si="1"/>
        <v>182851.92427685997</v>
      </c>
      <c r="H20" s="154">
        <f>'[3]Req Inflow'!F19</f>
        <v>0</v>
      </c>
      <c r="I20" s="72">
        <f t="shared" si="2"/>
        <v>182851.92427685997</v>
      </c>
      <c r="J20" s="17"/>
      <c r="K20" s="43">
        <f>MAX([2]GWCU!M24*0.7,E20)</f>
        <v>234425.79778333328</v>
      </c>
      <c r="L20" s="43">
        <f>'[2]M&amp;I COHYST Summary'!G20</f>
        <v>3742.2300000000005</v>
      </c>
      <c r="M20" s="43">
        <f>IF('[3]DS Demand'!H19&gt;0,'[3]DS Demand'!H19,0)</f>
        <v>41336.965399087341</v>
      </c>
      <c r="N20" s="43">
        <f>'[4]Instream Applied Duncan'!B19</f>
        <v>0</v>
      </c>
      <c r="O20" s="43">
        <f t="shared" si="3"/>
        <v>41336.965399087341</v>
      </c>
      <c r="P20" s="82"/>
      <c r="Q20" s="37">
        <f t="shared" si="4"/>
        <v>139920.11967594686</v>
      </c>
      <c r="R20" s="62">
        <f t="shared" si="8"/>
        <v>279504.99318242061</v>
      </c>
      <c r="S20" s="3"/>
      <c r="T20" s="37">
        <f t="shared" si="5"/>
        <v>42931.804600913107</v>
      </c>
      <c r="U20" s="37">
        <f t="shared" si="6"/>
        <v>-96653.068905560649</v>
      </c>
    </row>
    <row r="21" spans="1:21" x14ac:dyDescent="0.25">
      <c r="A21" s="38">
        <v>2001</v>
      </c>
      <c r="B21" s="146">
        <f>'[1]Capped Flow'!I20</f>
        <v>735853.14000000013</v>
      </c>
      <c r="C21" s="146">
        <f>'[1]Capped Flow'!J20</f>
        <v>1010936.5200000003</v>
      </c>
      <c r="D21" s="146">
        <f t="shared" si="7"/>
        <v>275083.38000000012</v>
      </c>
      <c r="E21" s="146">
        <f>'[2]GW Depletions'!H28</f>
        <v>122718.46724632691</v>
      </c>
      <c r="G21" s="78">
        <f t="shared" si="1"/>
        <v>397801.84724632703</v>
      </c>
      <c r="H21" s="154">
        <f>'[3]Req Inflow'!F20</f>
        <v>0</v>
      </c>
      <c r="I21" s="72">
        <f t="shared" si="2"/>
        <v>397801.84724632703</v>
      </c>
      <c r="J21" s="17"/>
      <c r="K21" s="43">
        <f>MAX([2]GWCU!M25*0.7,E21)</f>
        <v>165536.76130249954</v>
      </c>
      <c r="L21" s="43">
        <f>'[2]M&amp;I COHYST Summary'!G21</f>
        <v>3637.33</v>
      </c>
      <c r="M21" s="43">
        <f>IF('[3]DS Demand'!H20&gt;0,'[3]DS Demand'!H20,0)</f>
        <v>98485.485753260073</v>
      </c>
      <c r="N21" s="43">
        <f>'[4]Instream Applied Duncan'!B20</f>
        <v>0</v>
      </c>
      <c r="O21" s="43">
        <f t="shared" si="3"/>
        <v>98485.485753260073</v>
      </c>
      <c r="P21" s="82"/>
      <c r="Q21" s="37">
        <f t="shared" si="4"/>
        <v>224841.28299958698</v>
      </c>
      <c r="R21" s="62">
        <f t="shared" si="8"/>
        <v>267659.57705575961</v>
      </c>
      <c r="S21" s="3"/>
      <c r="T21" s="37">
        <f t="shared" si="5"/>
        <v>172960.56424674005</v>
      </c>
      <c r="U21" s="37">
        <f t="shared" si="6"/>
        <v>130142.27019056742</v>
      </c>
    </row>
    <row r="22" spans="1:21" x14ac:dyDescent="0.25">
      <c r="A22" s="38">
        <v>2002</v>
      </c>
      <c r="B22" s="146">
        <f>'[1]Capped Flow'!I21</f>
        <v>528667.92000000004</v>
      </c>
      <c r="C22" s="146">
        <f>'[1]Capped Flow'!J21</f>
        <v>621567.54</v>
      </c>
      <c r="D22" s="146">
        <f t="shared" si="7"/>
        <v>92899.62</v>
      </c>
      <c r="E22" s="146">
        <f>'[2]GW Depletions'!H29</f>
        <v>114141.67059573001</v>
      </c>
      <c r="G22" s="78">
        <f t="shared" si="1"/>
        <v>207041.29059573001</v>
      </c>
      <c r="H22" s="154">
        <f>'[3]Req Inflow'!F21</f>
        <v>0</v>
      </c>
      <c r="I22" s="72">
        <f t="shared" si="2"/>
        <v>207041.29059573001</v>
      </c>
      <c r="J22" s="17"/>
      <c r="K22" s="43">
        <f>MAX([2]GWCU!M26*0.7,E22)</f>
        <v>304367.91925166681</v>
      </c>
      <c r="L22" s="43">
        <f>'[2]M&amp;I COHYST Summary'!G22</f>
        <v>3652.9800000000005</v>
      </c>
      <c r="M22" s="43">
        <f>IF('[3]DS Demand'!H21&gt;0,'[3]DS Demand'!H21,0)</f>
        <v>63021.87460377095</v>
      </c>
      <c r="N22" s="43">
        <f>'[4]Instream Applied Duncan'!B21</f>
        <v>0</v>
      </c>
      <c r="O22" s="43">
        <f t="shared" si="3"/>
        <v>63021.87460377095</v>
      </c>
      <c r="P22" s="82"/>
      <c r="Q22" s="37">
        <f t="shared" si="4"/>
        <v>180816.52519950099</v>
      </c>
      <c r="R22" s="62">
        <f t="shared" si="8"/>
        <v>371042.77385543776</v>
      </c>
      <c r="S22" s="3"/>
      <c r="T22" s="37">
        <f t="shared" si="5"/>
        <v>26224.765396229021</v>
      </c>
      <c r="U22" s="37">
        <f t="shared" si="6"/>
        <v>-164001.48325970775</v>
      </c>
    </row>
    <row r="23" spans="1:21" x14ac:dyDescent="0.25">
      <c r="A23" s="38">
        <v>2003</v>
      </c>
      <c r="B23" s="146">
        <f>'[1]Capped Flow'!I22</f>
        <v>316025.82000000007</v>
      </c>
      <c r="C23" s="146">
        <f>'[1]Capped Flow'!J22</f>
        <v>360972.41399999999</v>
      </c>
      <c r="D23" s="146">
        <f t="shared" si="7"/>
        <v>44946.593999999925</v>
      </c>
      <c r="E23" s="146">
        <f>'[2]GW Depletions'!H30</f>
        <v>133148.01637052343</v>
      </c>
      <c r="G23" s="78">
        <f t="shared" si="1"/>
        <v>178094.61037052335</v>
      </c>
      <c r="H23" s="154">
        <f>'[3]Req Inflow'!F22</f>
        <v>0</v>
      </c>
      <c r="I23" s="72">
        <f t="shared" si="2"/>
        <v>178094.61037052335</v>
      </c>
      <c r="J23" s="17"/>
      <c r="K23" s="43">
        <f>MAX([2]GWCU!M27*0.7,E23)</f>
        <v>226146.39278583301</v>
      </c>
      <c r="L23" s="43">
        <f>'[2]M&amp;I COHYST Summary'!G23</f>
        <v>3847.9800000000005</v>
      </c>
      <c r="M23" s="43">
        <f>IF('[3]DS Demand'!H22&gt;0,'[3]DS Demand'!H22,0)</f>
        <v>66552.360854228245</v>
      </c>
      <c r="N23" s="43">
        <f>'[4]Instream Applied Duncan'!B22</f>
        <v>0</v>
      </c>
      <c r="O23" s="43">
        <f t="shared" si="3"/>
        <v>66552.360854228245</v>
      </c>
      <c r="P23" s="82"/>
      <c r="Q23" s="37">
        <f t="shared" si="4"/>
        <v>203548.3572247517</v>
      </c>
      <c r="R23" s="62">
        <f t="shared" si="8"/>
        <v>296546.73364006123</v>
      </c>
      <c r="S23" s="3"/>
      <c r="T23" s="37">
        <f t="shared" si="5"/>
        <v>-25453.746854228346</v>
      </c>
      <c r="U23" s="37">
        <f t="shared" si="6"/>
        <v>-118452.12326953787</v>
      </c>
    </row>
    <row r="24" spans="1:21" x14ac:dyDescent="0.25">
      <c r="A24" s="38">
        <v>2004</v>
      </c>
      <c r="B24" s="146">
        <f>'[1]Capped Flow'!I23</f>
        <v>196309.08000000002</v>
      </c>
      <c r="C24" s="146">
        <f>'[1]Capped Flow'!J23</f>
        <v>200334.41999999998</v>
      </c>
      <c r="D24" s="146">
        <f t="shared" si="7"/>
        <v>4025.3399999999674</v>
      </c>
      <c r="E24" s="146">
        <f>'[2]GW Depletions'!H31</f>
        <v>130128.33769513314</v>
      </c>
      <c r="G24" s="78">
        <f t="shared" si="1"/>
        <v>134153.67769513311</v>
      </c>
      <c r="H24" s="154">
        <f>'[3]Req Inflow'!F23</f>
        <v>0</v>
      </c>
      <c r="I24" s="72">
        <f t="shared" si="2"/>
        <v>134153.67769513311</v>
      </c>
      <c r="J24" s="17"/>
      <c r="K24" s="43">
        <f>MAX([2]GWCU!M28*0.7,E24)</f>
        <v>177737.50055249958</v>
      </c>
      <c r="L24" s="43">
        <f>'[2]M&amp;I COHYST Summary'!G24</f>
        <v>4019.33</v>
      </c>
      <c r="M24" s="43">
        <f>IF('[3]DS Demand'!H23&gt;0,'[3]DS Demand'!H23,0)</f>
        <v>58277.848729943522</v>
      </c>
      <c r="N24" s="43">
        <f>'[4]Instream Applied Duncan'!B23</f>
        <v>0</v>
      </c>
      <c r="O24" s="43">
        <f t="shared" si="3"/>
        <v>58277.848729943522</v>
      </c>
      <c r="P24" s="82"/>
      <c r="Q24" s="37">
        <f t="shared" si="4"/>
        <v>192425.51642507667</v>
      </c>
      <c r="R24" s="62">
        <f t="shared" si="8"/>
        <v>240034.6792824431</v>
      </c>
      <c r="S24" s="3"/>
      <c r="T24" s="37">
        <f t="shared" si="5"/>
        <v>-58271.838729943556</v>
      </c>
      <c r="U24" s="37">
        <f t="shared" si="6"/>
        <v>-105881.00158730999</v>
      </c>
    </row>
    <row r="25" spans="1:21" x14ac:dyDescent="0.25">
      <c r="A25" s="38">
        <v>2005</v>
      </c>
      <c r="B25" s="146">
        <f>'[1]Capped Flow'!I24</f>
        <v>272748.70260000008</v>
      </c>
      <c r="C25" s="146">
        <f>'[1]Capped Flow'!J24</f>
        <v>377857.71539999999</v>
      </c>
      <c r="D25" s="146">
        <f t="shared" si="7"/>
        <v>105109.01279999991</v>
      </c>
      <c r="E25" s="146">
        <f>'[2]GW Depletions'!H32</f>
        <v>130313.58340335169</v>
      </c>
      <c r="G25" s="78">
        <f t="shared" si="1"/>
        <v>235422.5962033516</v>
      </c>
      <c r="H25" s="154">
        <f>'[3]Req Inflow'!F24</f>
        <v>0</v>
      </c>
      <c r="I25" s="72">
        <f t="shared" si="2"/>
        <v>235422.5962033516</v>
      </c>
      <c r="J25" s="17"/>
      <c r="K25" s="43">
        <f>MAX([2]GWCU!M29*0.7,E25)</f>
        <v>184293.53076749982</v>
      </c>
      <c r="L25" s="43">
        <f>'[2]M&amp;I COHYST Summary'!G25</f>
        <v>4018.8400000000006</v>
      </c>
      <c r="M25" s="43">
        <f>IF('[3]DS Demand'!H24&gt;0,'[3]DS Demand'!H24,0)</f>
        <v>81834.53123834102</v>
      </c>
      <c r="N25" s="43">
        <f>'[4]Instream Applied Duncan'!B24</f>
        <v>0</v>
      </c>
      <c r="O25" s="43">
        <f t="shared" si="3"/>
        <v>81834.53123834102</v>
      </c>
      <c r="P25" s="82"/>
      <c r="Q25" s="37">
        <f t="shared" si="4"/>
        <v>216166.95464169272</v>
      </c>
      <c r="R25" s="62">
        <f t="shared" si="8"/>
        <v>270146.90200584085</v>
      </c>
      <c r="S25" s="3"/>
      <c r="T25" s="37">
        <f t="shared" si="5"/>
        <v>19255.641561658878</v>
      </c>
      <c r="U25" s="37">
        <f t="shared" si="6"/>
        <v>-34724.305802489253</v>
      </c>
    </row>
    <row r="26" spans="1:21" x14ac:dyDescent="0.25">
      <c r="A26" s="38">
        <v>2006</v>
      </c>
      <c r="B26" s="146">
        <f>'[1]Capped Flow'!I25</f>
        <v>229703.75999999995</v>
      </c>
      <c r="C26" s="146">
        <f>'[1]Capped Flow'!J25</f>
        <v>256954.57919999998</v>
      </c>
      <c r="D26" s="146">
        <f t="shared" si="7"/>
        <v>27250.819200000027</v>
      </c>
      <c r="E26" s="146">
        <f>'[2]GW Depletions'!H33</f>
        <v>123615.99449494948</v>
      </c>
      <c r="G26" s="78">
        <f t="shared" si="1"/>
        <v>150866.81369494949</v>
      </c>
      <c r="H26" s="154">
        <f>'[3]Req Inflow'!F25</f>
        <v>0</v>
      </c>
      <c r="I26" s="72">
        <f t="shared" si="2"/>
        <v>150866.81369494949</v>
      </c>
      <c r="J26" s="17"/>
      <c r="K26" s="43">
        <f>MAX([2]GWCU!M30*0.7,E26)</f>
        <v>192946.70289416681</v>
      </c>
      <c r="L26" s="43">
        <f>'[2]M&amp;I COHYST Summary'!G26</f>
        <v>4018.8400000000006</v>
      </c>
      <c r="M26" s="43">
        <f>IF('[3]DS Demand'!H25&gt;0,'[3]DS Demand'!H25,0)</f>
        <v>54428.537740161533</v>
      </c>
      <c r="N26" s="43">
        <f>'[4]Instream Applied Duncan'!B25</f>
        <v>0</v>
      </c>
      <c r="O26" s="43">
        <f t="shared" si="3"/>
        <v>54428.537740161533</v>
      </c>
      <c r="P26" s="82"/>
      <c r="Q26" s="37">
        <f t="shared" si="4"/>
        <v>182063.37223511102</v>
      </c>
      <c r="R26" s="62">
        <f t="shared" si="8"/>
        <v>251394.08063432833</v>
      </c>
      <c r="S26" s="3"/>
      <c r="T26" s="37">
        <f t="shared" si="5"/>
        <v>-31196.558540161524</v>
      </c>
      <c r="U26" s="37">
        <f t="shared" si="6"/>
        <v>-100527.26693937884</v>
      </c>
    </row>
    <row r="27" spans="1:21" x14ac:dyDescent="0.25">
      <c r="A27" s="38">
        <v>2007</v>
      </c>
      <c r="B27" s="146">
        <f>'[1]Capped Flow'!I26</f>
        <v>512039.87999999995</v>
      </c>
      <c r="C27" s="146">
        <f>'[1]Capped Flow'!J26</f>
        <v>574027.73999999976</v>
      </c>
      <c r="D27" s="146">
        <f t="shared" si="7"/>
        <v>61987.859999999811</v>
      </c>
      <c r="E27" s="146">
        <f>'[2]GW Depletions'!H34</f>
        <v>117540.59646808999</v>
      </c>
      <c r="G27" s="78">
        <f t="shared" si="1"/>
        <v>179528.4564680898</v>
      </c>
      <c r="H27" s="154">
        <f>'[3]Req Inflow'!F26</f>
        <v>0</v>
      </c>
      <c r="I27" s="72">
        <f t="shared" si="2"/>
        <v>179528.4564680898</v>
      </c>
      <c r="J27" s="17"/>
      <c r="K27" s="43">
        <f>MAX([2]GWCU!M31*0.7,E27)</f>
        <v>151989.2481333336</v>
      </c>
      <c r="L27" s="43">
        <f>'[2]M&amp;I COHYST Summary'!G27</f>
        <v>4018.8400000000006</v>
      </c>
      <c r="M27" s="43">
        <f>IF('[3]DS Demand'!H26&gt;0,'[3]DS Demand'!H26,0)</f>
        <v>54073.523114556367</v>
      </c>
      <c r="N27" s="43">
        <f>'[4]Instream Applied Duncan'!B26</f>
        <v>0</v>
      </c>
      <c r="O27" s="43">
        <f t="shared" si="3"/>
        <v>54073.523114556367</v>
      </c>
      <c r="P27" s="82"/>
      <c r="Q27" s="37">
        <f t="shared" si="4"/>
        <v>175632.95958264635</v>
      </c>
      <c r="R27" s="62">
        <f t="shared" si="8"/>
        <v>210081.61124788996</v>
      </c>
      <c r="S27" s="3"/>
      <c r="T27" s="37">
        <f t="shared" si="5"/>
        <v>3895.4968854434555</v>
      </c>
      <c r="U27" s="37">
        <f t="shared" si="6"/>
        <v>-30553.154779800156</v>
      </c>
    </row>
    <row r="28" spans="1:21" x14ac:dyDescent="0.25">
      <c r="A28" s="38">
        <v>2008</v>
      </c>
      <c r="B28" s="146">
        <f>'[1]Capped Flow'!I27</f>
        <v>476785.9800000001</v>
      </c>
      <c r="C28" s="146">
        <f>'[1]Capped Flow'!J27</f>
        <v>582551.64000000013</v>
      </c>
      <c r="D28" s="146">
        <f t="shared" si="7"/>
        <v>105765.66000000003</v>
      </c>
      <c r="E28" s="146">
        <f>'[2]GW Depletions'!H35</f>
        <v>111202.98542470156</v>
      </c>
      <c r="G28" s="78">
        <f t="shared" si="1"/>
        <v>216968.64542470159</v>
      </c>
      <c r="H28" s="154">
        <f>'[3]Req Inflow'!F27</f>
        <v>0</v>
      </c>
      <c r="I28" s="72">
        <f t="shared" si="2"/>
        <v>216968.64542470159</v>
      </c>
      <c r="J28" s="17"/>
      <c r="K28" s="43">
        <f>MAX([2]GWCU!M32*0.7,E28)</f>
        <v>227996.7402241675</v>
      </c>
      <c r="L28" s="43">
        <f>'[2]M&amp;I COHYST Summary'!G28</f>
        <v>4018.8400000000006</v>
      </c>
      <c r="M28" s="43">
        <f>IF('[3]DS Demand'!H27&gt;0,'[3]DS Demand'!H27,0)</f>
        <v>64501.339275325576</v>
      </c>
      <c r="N28" s="43">
        <f>'[4]Instream Applied Duncan'!B27</f>
        <v>0</v>
      </c>
      <c r="O28" s="43">
        <f t="shared" si="3"/>
        <v>64501.339275325576</v>
      </c>
      <c r="P28" s="82"/>
      <c r="Q28" s="37">
        <f t="shared" si="4"/>
        <v>179723.16470002712</v>
      </c>
      <c r="R28" s="62">
        <f t="shared" si="8"/>
        <v>296516.91949949309</v>
      </c>
      <c r="S28" s="3"/>
      <c r="T28" s="37">
        <f t="shared" si="5"/>
        <v>37245.480724674475</v>
      </c>
      <c r="U28" s="37">
        <f t="shared" si="6"/>
        <v>-79548.274074791494</v>
      </c>
    </row>
    <row r="29" spans="1:21" x14ac:dyDescent="0.25">
      <c r="A29" s="38">
        <v>2009</v>
      </c>
      <c r="B29" s="146">
        <f>'[1]Capped Flow'!I28</f>
        <v>537366.05999999994</v>
      </c>
      <c r="C29" s="146">
        <f>'[1]Capped Flow'!J28</f>
        <v>702117.90000000014</v>
      </c>
      <c r="D29" s="146">
        <f t="shared" si="7"/>
        <v>164751.8400000002</v>
      </c>
      <c r="E29" s="146">
        <f>'[2]GW Depletions'!H36</f>
        <v>108368.79173324151</v>
      </c>
      <c r="G29" s="78">
        <f t="shared" si="1"/>
        <v>273120.63173324172</v>
      </c>
      <c r="H29" s="154">
        <f>'[3]Req Inflow'!F28</f>
        <v>0</v>
      </c>
      <c r="I29" s="72">
        <f t="shared" si="2"/>
        <v>273120.63173324172</v>
      </c>
      <c r="J29" s="17"/>
      <c r="K29" s="43">
        <f>MAX([2]GWCU!M33*0.7,E29)</f>
        <v>235877.82708035756</v>
      </c>
      <c r="L29" s="43">
        <f>'[2]M&amp;I COHYST Summary'!G29</f>
        <v>4018.8400000000006</v>
      </c>
      <c r="M29" s="43">
        <f>IF('[3]DS Demand'!H28&gt;0,'[3]DS Demand'!H28,0)</f>
        <v>75469.818429513805</v>
      </c>
      <c r="N29" s="43">
        <f>'[4]Instream Applied Duncan'!B28</f>
        <v>0</v>
      </c>
      <c r="O29" s="43">
        <f t="shared" si="3"/>
        <v>75469.818429513805</v>
      </c>
      <c r="P29" s="82"/>
      <c r="Q29" s="37">
        <f t="shared" si="4"/>
        <v>187857.4501627553</v>
      </c>
      <c r="R29" s="62">
        <f t="shared" si="8"/>
        <v>315366.48550987139</v>
      </c>
      <c r="S29" s="3"/>
      <c r="T29" s="37">
        <f t="shared" si="5"/>
        <v>85263.181570486428</v>
      </c>
      <c r="U29" s="37">
        <f t="shared" si="6"/>
        <v>-42245.853776629665</v>
      </c>
    </row>
    <row r="30" spans="1:21" x14ac:dyDescent="0.25">
      <c r="A30" s="38">
        <v>2010</v>
      </c>
      <c r="B30" s="146">
        <f>'[1]Capped Flow'!I29</f>
        <v>877652.8200000003</v>
      </c>
      <c r="C30" s="146">
        <f>'[1]Capped Flow'!J29</f>
        <v>1056955.6799999997</v>
      </c>
      <c r="D30" s="146">
        <f t="shared" si="7"/>
        <v>179302.8599999994</v>
      </c>
      <c r="E30" s="146">
        <f>'[2]GW Depletions'!H37</f>
        <v>117029.87976928374</v>
      </c>
      <c r="G30" s="78">
        <f t="shared" si="1"/>
        <v>296332.73976928316</v>
      </c>
      <c r="H30" s="154">
        <f>'[3]Req Inflow'!F29</f>
        <v>0</v>
      </c>
      <c r="I30" s="72">
        <f t="shared" si="2"/>
        <v>296332.73976928316</v>
      </c>
      <c r="K30" s="43">
        <f>MAX([2]GWCU!M34*0.7,E30)</f>
        <v>248699.65900352833</v>
      </c>
      <c r="L30" s="43">
        <f>'[2]M&amp;I COHYST Summary'!G30</f>
        <v>4018.8400000000006</v>
      </c>
      <c r="M30" s="43">
        <f>IF('[3]DS Demand'!H29&gt;0,'[3]DS Demand'!H29,0)</f>
        <v>69403.497738876307</v>
      </c>
      <c r="N30" s="43">
        <f>'[4]Instream Applied Duncan'!B29</f>
        <v>0</v>
      </c>
      <c r="O30" s="43">
        <f t="shared" si="3"/>
        <v>69403.497738876307</v>
      </c>
      <c r="P30" s="82"/>
      <c r="Q30" s="37">
        <f t="shared" si="4"/>
        <v>190452.21750816004</v>
      </c>
      <c r="R30" s="62">
        <f t="shared" si="8"/>
        <v>322121.99674240465</v>
      </c>
      <c r="S30" s="3"/>
      <c r="T30" s="37">
        <f t="shared" si="5"/>
        <v>105880.52226112311</v>
      </c>
      <c r="U30" s="37">
        <f t="shared" si="6"/>
        <v>-25789.25697312149</v>
      </c>
    </row>
    <row r="31" spans="1:21" x14ac:dyDescent="0.25">
      <c r="A31" s="38">
        <v>2011</v>
      </c>
      <c r="B31" s="146">
        <f>'[1]Capped Flow'!I30</f>
        <v>1491724.0799999996</v>
      </c>
      <c r="C31" s="146">
        <f>'[1]Capped Flow'!J30</f>
        <v>1424568.42</v>
      </c>
      <c r="D31" s="146">
        <f t="shared" si="7"/>
        <v>-67155.659999999683</v>
      </c>
      <c r="E31" s="146">
        <f>'[2]GW Depletions'!H38</f>
        <v>119825.19956382003</v>
      </c>
      <c r="G31" s="78">
        <f t="shared" si="1"/>
        <v>52669.539563820348</v>
      </c>
      <c r="H31" s="154">
        <f>'[3]Req Inflow'!F30</f>
        <v>0</v>
      </c>
      <c r="I31" s="72">
        <f t="shared" si="2"/>
        <v>52669.539563820348</v>
      </c>
      <c r="K31" s="43">
        <f>MAX([2]GWCU!M35*0.7,E31)</f>
        <v>304246.19201716303</v>
      </c>
      <c r="L31" s="43">
        <f>'[2]M&amp;I COHYST Summary'!G31</f>
        <v>4018.8400000000006</v>
      </c>
      <c r="M31" s="43">
        <f>IF('[3]DS Demand'!H30&gt;0,'[3]DS Demand'!H30,0)</f>
        <v>11205.169777516605</v>
      </c>
      <c r="N31" s="43">
        <f>'[4]Instream Applied Duncan'!B30</f>
        <v>0</v>
      </c>
      <c r="O31" s="43">
        <f t="shared" si="3"/>
        <v>11205.169777516605</v>
      </c>
      <c r="P31" s="82"/>
      <c r="Q31" s="37">
        <f t="shared" si="4"/>
        <v>135049.20934133665</v>
      </c>
      <c r="R31" s="62">
        <f t="shared" si="8"/>
        <v>319470.20179467968</v>
      </c>
      <c r="S31" s="3"/>
      <c r="T31" s="37">
        <f t="shared" si="5"/>
        <v>-82379.669777516305</v>
      </c>
      <c r="U31" s="37">
        <f t="shared" si="6"/>
        <v>-266800.66223085934</v>
      </c>
    </row>
    <row r="32" spans="1:21" x14ac:dyDescent="0.25">
      <c r="A32" s="38">
        <v>2012</v>
      </c>
      <c r="B32" s="146">
        <f>'[1]Capped Flow'!I31</f>
        <v>1462572.5400000003</v>
      </c>
      <c r="C32" s="146">
        <f>'[1]Capped Flow'!J31</f>
        <v>2250986.7599999979</v>
      </c>
      <c r="D32" s="146">
        <f t="shared" si="7"/>
        <v>788414.21999999764</v>
      </c>
      <c r="E32" s="146">
        <f>'[2]GW Depletions'!H39</f>
        <v>110331.55643709826</v>
      </c>
      <c r="G32" s="78">
        <f t="shared" si="1"/>
        <v>898745.77643709595</v>
      </c>
      <c r="H32" s="154">
        <f>'[3]Req Inflow'!F31</f>
        <v>0</v>
      </c>
      <c r="I32" s="72">
        <f t="shared" si="2"/>
        <v>898745.77643709595</v>
      </c>
      <c r="K32" s="43">
        <f>MAX([2]GWCU!M36*0.7,E32)</f>
        <v>364504.61064499983</v>
      </c>
      <c r="L32" s="43">
        <f>'[2]M&amp;I COHYST Summary'!G32</f>
        <v>4018.8400000000006</v>
      </c>
      <c r="M32" s="43">
        <f>IF('[3]DS Demand'!H31&gt;0,'[3]DS Demand'!H31,0)</f>
        <v>159266.32524667159</v>
      </c>
      <c r="N32" s="43">
        <f>'[4]Instream Applied Duncan'!B31</f>
        <v>0</v>
      </c>
      <c r="O32" s="43">
        <f t="shared" si="3"/>
        <v>159266.32524667159</v>
      </c>
      <c r="P32" s="82"/>
      <c r="Q32" s="37">
        <f t="shared" si="4"/>
        <v>273616.72168376989</v>
      </c>
      <c r="R32" s="62">
        <f t="shared" si="8"/>
        <v>527789.77589167142</v>
      </c>
      <c r="S32" s="3"/>
      <c r="T32" s="37">
        <f t="shared" si="5"/>
        <v>625129.05475332611</v>
      </c>
      <c r="U32" s="37">
        <f t="shared" si="6"/>
        <v>370956.00054542453</v>
      </c>
    </row>
    <row r="33" spans="1:21" x14ac:dyDescent="0.25">
      <c r="K33" s="3"/>
      <c r="L33" s="120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t="s">
        <v>9</v>
      </c>
      <c r="B34" s="16">
        <f>AVERAGE(B8:B32)</f>
        <v>812043.92570400005</v>
      </c>
      <c r="C34" s="16">
        <f t="shared" ref="C34:U34" si="9">AVERAGE(C8:C32)</f>
        <v>981119.59862399998</v>
      </c>
      <c r="D34" s="16">
        <f>AVERAGE(D8:D32)</f>
        <v>169075.67291999992</v>
      </c>
      <c r="E34" s="16">
        <f t="shared" si="9"/>
        <v>111060.85854612949</v>
      </c>
      <c r="F34" s="16"/>
      <c r="G34" s="16">
        <f t="shared" si="9"/>
        <v>280136.53146612929</v>
      </c>
      <c r="H34" s="16">
        <f>AVERAGE(H8:H32)</f>
        <v>4159.9468114194206</v>
      </c>
      <c r="I34" s="16">
        <f>AVERAGE(I8:I32)</f>
        <v>284296.47827754874</v>
      </c>
      <c r="J34" s="16"/>
      <c r="K34" s="83">
        <f t="shared" si="9"/>
        <v>202661.69990497531</v>
      </c>
      <c r="L34" s="83">
        <f t="shared" si="9"/>
        <v>3806.0803999999994</v>
      </c>
      <c r="M34" s="83">
        <f t="shared" si="9"/>
        <v>70033.302939127097</v>
      </c>
      <c r="N34" s="83">
        <f t="shared" si="9"/>
        <v>5000.0934564477557</v>
      </c>
      <c r="O34" s="83">
        <f t="shared" si="9"/>
        <v>70033.302939127097</v>
      </c>
      <c r="P34" s="83"/>
      <c r="Q34" s="83">
        <f t="shared" si="9"/>
        <v>184900.24188525655</v>
      </c>
      <c r="R34" s="83">
        <f t="shared" si="9"/>
        <v>276501.08324410237</v>
      </c>
      <c r="S34" s="83"/>
      <c r="T34" s="83">
        <f t="shared" si="9"/>
        <v>99396.236392292238</v>
      </c>
      <c r="U34" s="83">
        <f t="shared" si="9"/>
        <v>7795.3950334464726</v>
      </c>
    </row>
    <row r="35" spans="1:21" x14ac:dyDescent="0.25">
      <c r="M35" s="28"/>
    </row>
    <row r="36" spans="1:21" x14ac:dyDescent="0.25">
      <c r="M36" s="28"/>
      <c r="N36" s="16"/>
    </row>
    <row r="42" spans="1:21" x14ac:dyDescent="0.25">
      <c r="A42" s="6" t="s">
        <v>10</v>
      </c>
      <c r="B42" s="6"/>
      <c r="D42" s="6" t="s">
        <v>6</v>
      </c>
      <c r="G42" t="s">
        <v>7</v>
      </c>
    </row>
    <row r="43" spans="1:21" x14ac:dyDescent="0.25">
      <c r="A43" s="42" t="s">
        <v>2</v>
      </c>
      <c r="B43" s="62">
        <f>D34</f>
        <v>169075.67291999992</v>
      </c>
      <c r="D43" s="42" t="s">
        <v>11</v>
      </c>
      <c r="E43" s="43">
        <f>E34</f>
        <v>111060.85854612949</v>
      </c>
      <c r="G43" s="42" t="s">
        <v>12</v>
      </c>
      <c r="H43" s="43">
        <f>K34</f>
        <v>202661.69990497531</v>
      </c>
      <c r="J43" s="16" t="s">
        <v>135</v>
      </c>
      <c r="K43" s="161" t="s">
        <v>136</v>
      </c>
    </row>
    <row r="44" spans="1:21" x14ac:dyDescent="0.25">
      <c r="A44" s="42" t="s">
        <v>11</v>
      </c>
      <c r="B44" s="62">
        <f>E34</f>
        <v>111060.85854612949</v>
      </c>
      <c r="D44" s="42" t="s">
        <v>13</v>
      </c>
      <c r="E44" s="43">
        <v>0</v>
      </c>
      <c r="G44" s="42" t="s">
        <v>13</v>
      </c>
      <c r="H44" s="43">
        <v>0</v>
      </c>
      <c r="J44" s="161" t="s">
        <v>137</v>
      </c>
      <c r="K44" s="161" t="s">
        <v>138</v>
      </c>
    </row>
    <row r="45" spans="1:21" x14ac:dyDescent="0.25">
      <c r="A45" s="42" t="s">
        <v>3</v>
      </c>
      <c r="B45" s="62">
        <v>0</v>
      </c>
      <c r="D45" s="42" t="s">
        <v>95</v>
      </c>
      <c r="E45" s="43">
        <f>L34</f>
        <v>3806.0803999999994</v>
      </c>
      <c r="G45" s="42" t="s">
        <v>95</v>
      </c>
      <c r="H45" s="43">
        <f>E45</f>
        <v>3806.0803999999994</v>
      </c>
      <c r="J45" s="161" t="s">
        <v>139</v>
      </c>
      <c r="K45" s="161" t="s">
        <v>140</v>
      </c>
    </row>
    <row r="46" spans="1:21" x14ac:dyDescent="0.25">
      <c r="A46" s="42" t="s">
        <v>68</v>
      </c>
      <c r="B46" s="62">
        <f>H34</f>
        <v>4159.9468114194206</v>
      </c>
      <c r="D46" s="26" t="s">
        <v>18</v>
      </c>
      <c r="E46" s="78">
        <f>O34</f>
        <v>70033.302939127097</v>
      </c>
      <c r="G46" s="103" t="s">
        <v>18</v>
      </c>
      <c r="H46" s="43">
        <f>E46</f>
        <v>70033.302939127097</v>
      </c>
      <c r="J46" s="161" t="s">
        <v>141</v>
      </c>
      <c r="K46" s="161" t="s">
        <v>142</v>
      </c>
    </row>
    <row r="47" spans="1:21" x14ac:dyDescent="0.25">
      <c r="A47" s="42" t="s">
        <v>22</v>
      </c>
      <c r="B47" s="27">
        <f>SUM(B43:B46)</f>
        <v>284296.47827754886</v>
      </c>
      <c r="D47" s="42" t="s">
        <v>42</v>
      </c>
      <c r="E47" s="43">
        <f>B47-E48</f>
        <v>99396.236392292252</v>
      </c>
      <c r="G47" s="42" t="s">
        <v>42</v>
      </c>
      <c r="H47" s="43">
        <f>B47-H48</f>
        <v>7795.3950334464316</v>
      </c>
      <c r="J47" s="161" t="s">
        <v>143</v>
      </c>
      <c r="K47" s="161" t="s">
        <v>144</v>
      </c>
    </row>
    <row r="48" spans="1:21" x14ac:dyDescent="0.25">
      <c r="D48" s="42" t="s">
        <v>22</v>
      </c>
      <c r="E48" s="43">
        <f>SUM(E43:E46)</f>
        <v>184900.2418852566</v>
      </c>
      <c r="G48" s="42" t="s">
        <v>22</v>
      </c>
      <c r="H48" s="43">
        <f>SUM(H43:H46)</f>
        <v>276501.08324410242</v>
      </c>
      <c r="J48" s="161" t="s">
        <v>5</v>
      </c>
      <c r="K48" s="161" t="s">
        <v>145</v>
      </c>
    </row>
    <row r="49" spans="10:11" x14ac:dyDescent="0.25">
      <c r="J49" s="5" t="s">
        <v>146</v>
      </c>
      <c r="K49" s="161" t="s">
        <v>147</v>
      </c>
    </row>
    <row r="50" spans="10:11" x14ac:dyDescent="0.25">
      <c r="J50" s="5" t="s">
        <v>148</v>
      </c>
      <c r="K50" s="161" t="s">
        <v>149</v>
      </c>
    </row>
    <row r="51" spans="10:11" x14ac:dyDescent="0.25">
      <c r="J51" s="5" t="s">
        <v>150</v>
      </c>
      <c r="K51" s="161" t="s">
        <v>151</v>
      </c>
    </row>
    <row r="52" spans="10:11" x14ac:dyDescent="0.25">
      <c r="J52" s="125" t="s">
        <v>152</v>
      </c>
      <c r="K52" s="125" t="s">
        <v>153</v>
      </c>
    </row>
    <row r="53" spans="10:11" x14ac:dyDescent="0.25">
      <c r="J53" s="125" t="s">
        <v>154</v>
      </c>
      <c r="K53" s="125" t="s">
        <v>155</v>
      </c>
    </row>
  </sheetData>
  <mergeCells count="1">
    <mergeCell ref="A6:A7"/>
  </mergeCells>
  <pageMargins left="0.7" right="0.7" top="0.75" bottom="0.75" header="0.3" footer="0.3"/>
  <pageSetup paperSize="3" scale="95" fitToWidth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Lewellen_NonIrrigation Season</vt:lpstr>
      <vt:lpstr>Lewellen_Irrigation Season</vt:lpstr>
      <vt:lpstr>NorthPlatte_NonIRR Season</vt:lpstr>
      <vt:lpstr>NorthPlatte_IRR Season</vt:lpstr>
      <vt:lpstr>Odessa_NonIrrigation Season</vt:lpstr>
      <vt:lpstr>Odessa_Irrigation Season</vt:lpstr>
      <vt:lpstr>GIsland_NonIrrigation Season</vt:lpstr>
      <vt:lpstr>GIsland_Irrigation Season</vt:lpstr>
      <vt:lpstr>Duncan_NonIrrigation Season</vt:lpstr>
      <vt:lpstr>Duncan_Irrigation Season</vt:lpstr>
      <vt:lpstr>SPlatte_NonIrrigation Season</vt:lpstr>
      <vt:lpstr>SPlatte_Irrigation Season</vt:lpstr>
      <vt:lpstr>Full Upper Platte NonIRR</vt:lpstr>
      <vt:lpstr>Full Upper Platte IRR </vt:lpstr>
    </vt:vector>
  </TitlesOfParts>
  <Company>HDR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Rock, Simone</dc:creator>
  <cp:lastModifiedBy>Winkler, Shea</cp:lastModifiedBy>
  <cp:lastPrinted>2017-01-30T18:40:42Z</cp:lastPrinted>
  <dcterms:created xsi:type="dcterms:W3CDTF">2015-09-14T14:17:45Z</dcterms:created>
  <dcterms:modified xsi:type="dcterms:W3CDTF">2019-06-12T21:46:27Z</dcterms:modified>
</cp:coreProperties>
</file>